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5.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theme/themeOverride3.xml" ContentType="application/vnd.openxmlformats-officedocument.themeOverride+xml"/>
  <Override PartName="/xl/drawings/drawing7.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theme/themeOverride4.xml" ContentType="application/vnd.openxmlformats-officedocument.themeOverride+xml"/>
  <Override PartName="/xl/drawings/drawing8.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theme/themeOverride5.xml" ContentType="application/vnd.openxmlformats-officedocument.themeOverride+xml"/>
  <Override PartName="/xl/drawings/drawing9.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theme/themeOverride6.xml" ContentType="application/vnd.openxmlformats-officedocument.themeOverride+xml"/>
  <Override PartName="/xl/drawings/drawing10.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Override PartName="/xl/charts/colors15.xml" ContentType="application/vnd.ms-office.chartcolorstyle+xml"/>
  <Override PartName="/xl/charts/style15.xml" ContentType="application/vnd.ms-office.chartstyle+xml"/>
  <Override PartName="/xl/charts/colors16.xml" ContentType="application/vnd.ms-office.chartcolorstyle+xml"/>
  <Override PartName="/xl/charts/style16.xml" ContentType="application/vnd.ms-office.chartstyle+xml"/>
  <Override PartName="/xl/charts/colors17.xml" ContentType="application/vnd.ms-office.chartcolorstyle+xml"/>
  <Override PartName="/xl/charts/style17.xml" ContentType="application/vnd.ms-office.chartstyle+xml"/>
  <Override PartName="/xl/charts/colors18.xml" ContentType="application/vnd.ms-office.chartcolorstyle+xml"/>
  <Override PartName="/xl/charts/style18.xml" ContentType="application/vnd.ms-office.chartstyle+xml"/>
  <Override PartName="/xl/charts/colors19.xml" ContentType="application/vnd.ms-office.chartcolorstyle+xml"/>
  <Override PartName="/xl/charts/style19.xml" ContentType="application/vnd.ms-office.chartstyle+xml"/>
  <Override PartName="/xl/charts/colors20.xml" ContentType="application/vnd.ms-office.chartcolorstyle+xml"/>
  <Override PartName="/xl/charts/style20.xml" ContentType="application/vnd.ms-office.chartstyle+xml"/>
  <Override PartName="/xl/charts/colors21.xml" ContentType="application/vnd.ms-office.chartcolorstyle+xml"/>
  <Override PartName="/xl/charts/style21.xml" ContentType="application/vnd.ms-office.chartstyle+xml"/>
  <Override PartName="/xl/charts/colors22.xml" ContentType="application/vnd.ms-office.chartcolorstyle+xml"/>
  <Override PartName="/xl/charts/style22.xml" ContentType="application/vnd.ms-office.chartstyle+xml"/>
  <Override PartName="/xl/charts/colors23.xml" ContentType="application/vnd.ms-office.chartcolorstyle+xml"/>
  <Override PartName="/xl/charts/style23.xml" ContentType="application/vnd.ms-office.chartstyle+xml"/>
  <Override PartName="/xl/charts/colors24.xml" ContentType="application/vnd.ms-office.chartcolorstyle+xml"/>
  <Override PartName="/xl/charts/style24.xml" ContentType="application/vnd.ms-office.chartstyle+xml"/>
  <Override PartName="/xl/charts/colors25.xml" ContentType="application/vnd.ms-office.chartcolorstyle+xml"/>
  <Override PartName="/xl/charts/style25.xml" ContentType="application/vnd.ms-office.chartstyle+xml"/>
  <Override PartName="/xl/charts/colors26.xml" ContentType="application/vnd.ms-office.chartcolorstyle+xml"/>
  <Override PartName="/xl/charts/style26.xml" ContentType="application/vnd.ms-office.chartstyle+xml"/>
  <Override PartName="/xl/charts/colors27.xml" ContentType="application/vnd.ms-office.chartcolorstyle+xml"/>
  <Override PartName="/xl/charts/style27.xml" ContentType="application/vnd.ms-office.chartstyle+xml"/>
  <Override PartName="/xl/charts/colors28.xml" ContentType="application/vnd.ms-office.chartcolorstyle+xml"/>
  <Override PartName="/xl/charts/style28.xml" ContentType="application/vnd.ms-office.chartstyle+xml"/>
  <Override PartName="/xl/charts/colors29.xml" ContentType="application/vnd.ms-office.chartcolorstyle+xml"/>
  <Override PartName="/xl/charts/style29.xml" ContentType="application/vnd.ms-office.chartstyle+xml"/>
  <Override PartName="/xl/charts/colors30.xml" ContentType="application/vnd.ms-office.chartcolorstyle+xml"/>
  <Override PartName="/xl/charts/style30.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800" windowHeight="9045"/>
  </bookViews>
  <sheets>
    <sheet name="3 categories" sheetId="12" r:id="rId1"/>
    <sheet name="4 categories" sheetId="11" r:id="rId2"/>
    <sheet name="5 categories" sheetId="7" r:id="rId3"/>
    <sheet name="6 categories with explanation" sheetId="2" r:id="rId4"/>
    <sheet name="7 categories" sheetId="6" r:id="rId5"/>
    <sheet name="8 categories" sheetId="8" r:id="rId6"/>
    <sheet name="9 categories" sheetId="9" r:id="rId7"/>
    <sheet name="10 categories" sheetId="10" r:id="rId8"/>
    <sheet name="11 categories" sheetId="13" r:id="rId9"/>
    <sheet name="12 categories" sheetId="14" r:id="rId10"/>
    <sheet name="Sheet1" sheetId="1" r:id="rId11"/>
    <sheet name="Sheet3" sheetId="3" r:id="rId12"/>
    <sheet name="Sheet2" sheetId="4" r:id="rId13"/>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 i="12" l="1"/>
  <c r="P7" i="12"/>
  <c r="S12" i="14" l="1"/>
  <c r="S11" i="14"/>
  <c r="U10" i="14"/>
  <c r="V10" i="14"/>
  <c r="W10" i="14"/>
  <c r="X10" i="14"/>
  <c r="Y10" i="14"/>
  <c r="Z10" i="14"/>
  <c r="AA10" i="14"/>
  <c r="AB10" i="14"/>
  <c r="AC10" i="14"/>
  <c r="AD10" i="14"/>
  <c r="AE10" i="14"/>
  <c r="T10" i="14"/>
  <c r="AC6" i="13"/>
  <c r="T6" i="13"/>
  <c r="U6" i="13"/>
  <c r="V6" i="13"/>
  <c r="W6" i="13"/>
  <c r="X6" i="13"/>
  <c r="Y6" i="13"/>
  <c r="Z6" i="13"/>
  <c r="AA6" i="13"/>
  <c r="AB6" i="13"/>
  <c r="S6" i="13"/>
  <c r="R8" i="13"/>
  <c r="R7" i="13"/>
  <c r="S6" i="10"/>
  <c r="T6" i="10"/>
  <c r="U6" i="10"/>
  <c r="V6" i="10"/>
  <c r="W6" i="10"/>
  <c r="X6" i="10"/>
  <c r="Y6" i="10"/>
  <c r="Z6" i="10"/>
  <c r="AA6" i="10"/>
  <c r="Q8" i="10"/>
  <c r="Q7" i="10"/>
  <c r="R6" i="10"/>
  <c r="R6" i="9"/>
  <c r="S6" i="9"/>
  <c r="T6" i="9"/>
  <c r="U6" i="9"/>
  <c r="V6" i="9"/>
  <c r="W6" i="9"/>
  <c r="X6" i="9"/>
  <c r="Y6" i="9"/>
  <c r="P8" i="9"/>
  <c r="P7" i="9"/>
  <c r="Q6" i="9"/>
  <c r="O8" i="8"/>
  <c r="O7" i="8"/>
  <c r="Q6" i="8"/>
  <c r="R6" i="8"/>
  <c r="S6" i="8"/>
  <c r="T6" i="8"/>
  <c r="U6" i="8"/>
  <c r="V6" i="8"/>
  <c r="W6" i="8"/>
  <c r="P6" i="8"/>
  <c r="N8" i="6"/>
  <c r="P6" i="6"/>
  <c r="Q6" i="6"/>
  <c r="R6" i="6"/>
  <c r="S6" i="6"/>
  <c r="T6" i="6"/>
  <c r="U6" i="6"/>
  <c r="N7" i="6"/>
  <c r="O6" i="6"/>
  <c r="K8" i="12"/>
  <c r="K7" i="12"/>
  <c r="M6" i="12"/>
  <c r="N6" i="12"/>
  <c r="L6" i="12"/>
  <c r="K8" i="11"/>
  <c r="K7" i="11"/>
  <c r="M6" i="11"/>
  <c r="N6" i="11"/>
  <c r="O6" i="11"/>
  <c r="L6" i="11"/>
  <c r="S6" i="2"/>
  <c r="T6" i="2"/>
  <c r="U6" i="2"/>
  <c r="Q6" i="2"/>
  <c r="R6" i="2"/>
  <c r="O8" i="2"/>
  <c r="O7" i="2"/>
  <c r="P6" i="2"/>
  <c r="AF8" i="7"/>
  <c r="M7" i="7"/>
  <c r="N7" i="7"/>
  <c r="O7" i="7"/>
  <c r="P7" i="7"/>
  <c r="L7" i="7"/>
  <c r="BI10" i="14" l="1"/>
  <c r="BJ10" i="14"/>
  <c r="BK10" i="14"/>
  <c r="BI11" i="14"/>
  <c r="BJ11" i="14"/>
  <c r="BK11" i="14"/>
  <c r="BI12" i="14"/>
  <c r="BJ12" i="14"/>
  <c r="BK12" i="14"/>
  <c r="AS10" i="14"/>
  <c r="AT10" i="14"/>
  <c r="AU10" i="14"/>
  <c r="A30" i="14"/>
  <c r="A29" i="14"/>
  <c r="AI18" i="14"/>
  <c r="AI17" i="14"/>
  <c r="BH12" i="14"/>
  <c r="BG12" i="14"/>
  <c r="BF12" i="14"/>
  <c r="BE12" i="14"/>
  <c r="BD12" i="14"/>
  <c r="BC12" i="14"/>
  <c r="BB12" i="14"/>
  <c r="BA12" i="14"/>
  <c r="AZ12" i="14"/>
  <c r="AY12" i="14"/>
  <c r="AY15" i="14" s="1"/>
  <c r="AW12" i="14"/>
  <c r="AJ12" i="14"/>
  <c r="AI12" i="14"/>
  <c r="Q12" i="14"/>
  <c r="BH11" i="14"/>
  <c r="BG11" i="14"/>
  <c r="BF11" i="14"/>
  <c r="BE11" i="14"/>
  <c r="BD11" i="14"/>
  <c r="BC11" i="14"/>
  <c r="BB11" i="14"/>
  <c r="BA11" i="14"/>
  <c r="AZ11" i="14"/>
  <c r="AY11" i="14"/>
  <c r="AY14" i="14" s="1"/>
  <c r="AW11" i="14"/>
  <c r="AJ11" i="14"/>
  <c r="AI11" i="14"/>
  <c r="Q11" i="14"/>
  <c r="BH10" i="14"/>
  <c r="BG10" i="14"/>
  <c r="BF10" i="14"/>
  <c r="BE10" i="14"/>
  <c r="BD10" i="14"/>
  <c r="BC10" i="14"/>
  <c r="BB10" i="14"/>
  <c r="BA10" i="14"/>
  <c r="AZ10" i="14"/>
  <c r="AR10" i="14"/>
  <c r="AQ10" i="14"/>
  <c r="AP10" i="14"/>
  <c r="AO10" i="14"/>
  <c r="AN10" i="14"/>
  <c r="AM10" i="14"/>
  <c r="AL10" i="14"/>
  <c r="AK10" i="14"/>
  <c r="AJ10" i="14"/>
  <c r="AK6" i="13"/>
  <c r="AZ6" i="13"/>
  <c r="BA6" i="13"/>
  <c r="BB6" i="13"/>
  <c r="BC6" i="13"/>
  <c r="BD6" i="13"/>
  <c r="BE6" i="13"/>
  <c r="BF6" i="13"/>
  <c r="BG6" i="13"/>
  <c r="BH6" i="13"/>
  <c r="AZ7" i="13"/>
  <c r="BA7" i="13"/>
  <c r="BB7" i="13"/>
  <c r="BC7" i="13"/>
  <c r="BD7" i="13"/>
  <c r="BE7" i="13"/>
  <c r="BF7" i="13"/>
  <c r="BG7" i="13"/>
  <c r="BH7" i="13"/>
  <c r="AZ8" i="13"/>
  <c r="BA8" i="13"/>
  <c r="BB8" i="13"/>
  <c r="BC8" i="13"/>
  <c r="BD8" i="13"/>
  <c r="BE8" i="13"/>
  <c r="BF8" i="13"/>
  <c r="BG8" i="13"/>
  <c r="BH8" i="13"/>
  <c r="AL6" i="13"/>
  <c r="AM6" i="13"/>
  <c r="AN6" i="13"/>
  <c r="AO6" i="13"/>
  <c r="AP6" i="13"/>
  <c r="AQ6" i="13"/>
  <c r="AR6" i="13"/>
  <c r="AS6" i="13"/>
  <c r="A26" i="13"/>
  <c r="A25" i="13"/>
  <c r="AH14" i="13"/>
  <c r="AH13" i="13"/>
  <c r="AY8" i="13"/>
  <c r="AX8" i="13"/>
  <c r="AW8" i="13"/>
  <c r="AW11" i="13" s="1"/>
  <c r="AU8" i="13"/>
  <c r="AI8" i="13"/>
  <c r="AH8" i="13"/>
  <c r="P8" i="13"/>
  <c r="AY7" i="13"/>
  <c r="AX7" i="13"/>
  <c r="AW7" i="13"/>
  <c r="AW10" i="13" s="1"/>
  <c r="AU7" i="13"/>
  <c r="AI7" i="13"/>
  <c r="AH7" i="13"/>
  <c r="P7" i="13"/>
  <c r="AY6" i="13"/>
  <c r="AX6" i="13"/>
  <c r="AJ6" i="13"/>
  <c r="AI6" i="13"/>
  <c r="A26" i="12"/>
  <c r="A25" i="12"/>
  <c r="R14" i="12"/>
  <c r="R13" i="12"/>
  <c r="AD8" i="12"/>
  <c r="AC8" i="12"/>
  <c r="AB8" i="12"/>
  <c r="AA8" i="12"/>
  <c r="AA11" i="12" s="1"/>
  <c r="Y8" i="12"/>
  <c r="S8" i="12"/>
  <c r="R8" i="12"/>
  <c r="I8" i="12"/>
  <c r="AD7" i="12"/>
  <c r="AC7" i="12"/>
  <c r="AB7" i="12"/>
  <c r="AA7" i="12"/>
  <c r="AA10" i="12" s="1"/>
  <c r="Y7" i="12"/>
  <c r="AL24" i="12" s="1"/>
  <c r="S7" i="12"/>
  <c r="R7" i="12"/>
  <c r="I7" i="12"/>
  <c r="AD6" i="12"/>
  <c r="AC6" i="12"/>
  <c r="AB6" i="12"/>
  <c r="U6" i="12"/>
  <c r="T6" i="12"/>
  <c r="S6" i="12"/>
  <c r="AD7" i="11"/>
  <c r="AE7" i="11"/>
  <c r="AD8" i="11"/>
  <c r="AE8" i="11"/>
  <c r="U6" i="11"/>
  <c r="V6" i="11"/>
  <c r="A26" i="11"/>
  <c r="A25" i="11"/>
  <c r="R14" i="11"/>
  <c r="R13" i="11"/>
  <c r="AC8" i="11"/>
  <c r="AB8" i="11"/>
  <c r="AA8" i="11"/>
  <c r="AA11" i="11" s="1"/>
  <c r="Y8" i="11"/>
  <c r="S8" i="11"/>
  <c r="T8" i="11" s="1"/>
  <c r="U8" i="11" s="1"/>
  <c r="R8" i="11"/>
  <c r="I8" i="11"/>
  <c r="AC7" i="11"/>
  <c r="AB7" i="11"/>
  <c r="AA7" i="11"/>
  <c r="AA10" i="11" s="1"/>
  <c r="Y7" i="11"/>
  <c r="S7" i="11"/>
  <c r="R7" i="11"/>
  <c r="I7" i="11"/>
  <c r="AE6" i="11"/>
  <c r="AD6" i="11"/>
  <c r="AC6" i="11"/>
  <c r="AB6" i="11"/>
  <c r="T6" i="11"/>
  <c r="S6" i="11"/>
  <c r="AY6" i="10"/>
  <c r="AZ6" i="10"/>
  <c r="BA6" i="10"/>
  <c r="BB6" i="10"/>
  <c r="BC6" i="10"/>
  <c r="BD6" i="10"/>
  <c r="BE6" i="10"/>
  <c r="AY7" i="10"/>
  <c r="AZ7" i="10"/>
  <c r="BA7" i="10"/>
  <c r="BB7" i="10"/>
  <c r="BC7" i="10"/>
  <c r="BD7" i="10"/>
  <c r="BE7" i="10"/>
  <c r="AY8" i="10"/>
  <c r="AZ8" i="10"/>
  <c r="BA8" i="10"/>
  <c r="BB8" i="10"/>
  <c r="BC8" i="10"/>
  <c r="BD8" i="10"/>
  <c r="BE8" i="10"/>
  <c r="AT6" i="9"/>
  <c r="AU6" i="9"/>
  <c r="AV6" i="9"/>
  <c r="AW6" i="9"/>
  <c r="AX6" i="9"/>
  <c r="AY6" i="9"/>
  <c r="AT7" i="9"/>
  <c r="AU7" i="9"/>
  <c r="AV7" i="9"/>
  <c r="AW7" i="9"/>
  <c r="AX7" i="9"/>
  <c r="AY7" i="9"/>
  <c r="AT8" i="9"/>
  <c r="AU8" i="9"/>
  <c r="AV8" i="9"/>
  <c r="AW8" i="9"/>
  <c r="AX8" i="9"/>
  <c r="AY8" i="9"/>
  <c r="AT6" i="8"/>
  <c r="AT7" i="8"/>
  <c r="AT8" i="8"/>
  <c r="AR7" i="8"/>
  <c r="AS7" i="8"/>
  <c r="AR8" i="8"/>
  <c r="AS8" i="8"/>
  <c r="AV7" i="10"/>
  <c r="AO6" i="10"/>
  <c r="AP6" i="10"/>
  <c r="AQ6" i="10"/>
  <c r="A26" i="10"/>
  <c r="A25" i="10"/>
  <c r="AG14" i="10"/>
  <c r="AG13" i="10"/>
  <c r="AX8" i="10"/>
  <c r="AW8" i="10"/>
  <c r="AV8" i="10"/>
  <c r="AU8" i="10"/>
  <c r="AU11" i="10" s="1"/>
  <c r="AS8" i="10"/>
  <c r="AH8" i="10"/>
  <c r="AG8" i="10"/>
  <c r="O8" i="10"/>
  <c r="AX7" i="10"/>
  <c r="AW7" i="10"/>
  <c r="AU7" i="10"/>
  <c r="AU10" i="10" s="1"/>
  <c r="AS7" i="10"/>
  <c r="AH7" i="10"/>
  <c r="AI7" i="10" s="1"/>
  <c r="AG7" i="10"/>
  <c r="O7" i="10"/>
  <c r="AX6" i="10"/>
  <c r="AW6" i="10"/>
  <c r="AV6" i="10"/>
  <c r="AN6" i="10"/>
  <c r="AM6" i="10"/>
  <c r="AL6" i="10"/>
  <c r="AK6" i="10"/>
  <c r="AJ6" i="10"/>
  <c r="AI6" i="10"/>
  <c r="AH6" i="10"/>
  <c r="AJ6" i="9"/>
  <c r="AK6" i="9"/>
  <c r="AL6" i="9"/>
  <c r="A26" i="9"/>
  <c r="A25" i="9"/>
  <c r="AC14" i="9"/>
  <c r="AC13" i="9"/>
  <c r="AS8" i="9"/>
  <c r="AR8" i="9"/>
  <c r="AQ8" i="9"/>
  <c r="AP8" i="9"/>
  <c r="AP11" i="9" s="1"/>
  <c r="AN8" i="9"/>
  <c r="AD8" i="9"/>
  <c r="AC8" i="9"/>
  <c r="N8" i="9"/>
  <c r="AS7" i="9"/>
  <c r="AR7" i="9"/>
  <c r="AQ7" i="9"/>
  <c r="AP7" i="9"/>
  <c r="AP10" i="9" s="1"/>
  <c r="AN7" i="9"/>
  <c r="AD7" i="9"/>
  <c r="AC7" i="9"/>
  <c r="N7" i="9"/>
  <c r="AS6" i="9"/>
  <c r="AR6" i="9"/>
  <c r="AQ6" i="9"/>
  <c r="AI6" i="9"/>
  <c r="AH6" i="9"/>
  <c r="AG6" i="9"/>
  <c r="AF6" i="9"/>
  <c r="AE6" i="9"/>
  <c r="AD6" i="9"/>
  <c r="AO7" i="6"/>
  <c r="AO6" i="6"/>
  <c r="AP6" i="6"/>
  <c r="AQ6" i="6"/>
  <c r="AR6" i="6"/>
  <c r="AP7" i="6"/>
  <c r="AQ7" i="6"/>
  <c r="AR7" i="6"/>
  <c r="AO8" i="6"/>
  <c r="AP8" i="6"/>
  <c r="AQ8" i="6"/>
  <c r="AR8" i="6"/>
  <c r="AW7" i="8"/>
  <c r="AW6" i="8"/>
  <c r="AW8" i="8"/>
  <c r="AK6" i="8"/>
  <c r="A26" i="8"/>
  <c r="A25" i="8"/>
  <c r="AD14" i="8"/>
  <c r="AD13" i="8"/>
  <c r="AX8" i="8"/>
  <c r="AV8" i="8"/>
  <c r="AU8" i="8"/>
  <c r="AQ8" i="8"/>
  <c r="AP8" i="8"/>
  <c r="AP11" i="8" s="1"/>
  <c r="AN8" i="8"/>
  <c r="AE8" i="8"/>
  <c r="AF8" i="8" s="1"/>
  <c r="AG8" i="8" s="1"/>
  <c r="AD8" i="8"/>
  <c r="M8" i="8"/>
  <c r="AX7" i="8"/>
  <c r="AV7" i="8"/>
  <c r="AU7" i="8"/>
  <c r="AQ7" i="8"/>
  <c r="AP7" i="8"/>
  <c r="AP10" i="8" s="1"/>
  <c r="AN7" i="8"/>
  <c r="AE7" i="8"/>
  <c r="AD7" i="8"/>
  <c r="M7" i="8"/>
  <c r="AX6" i="8"/>
  <c r="AV6" i="8"/>
  <c r="AU6" i="8"/>
  <c r="AS6" i="8"/>
  <c r="AR6" i="8"/>
  <c r="AQ6" i="8"/>
  <c r="AL6" i="8"/>
  <c r="AJ6" i="8"/>
  <c r="AI6" i="8"/>
  <c r="AH6" i="8"/>
  <c r="AG6" i="8"/>
  <c r="AF6" i="8"/>
  <c r="AE6" i="8"/>
  <c r="A27" i="7"/>
  <c r="A26" i="7"/>
  <c r="V15" i="7"/>
  <c r="V14" i="7"/>
  <c r="AJ9" i="7"/>
  <c r="AI9" i="7"/>
  <c r="AH9" i="7"/>
  <c r="AG9" i="7"/>
  <c r="AF9" i="7"/>
  <c r="AE9" i="7"/>
  <c r="AE12" i="7" s="1"/>
  <c r="AC9" i="7"/>
  <c r="W9" i="7"/>
  <c r="X9" i="7" s="1"/>
  <c r="V9" i="7"/>
  <c r="J9" i="7"/>
  <c r="AJ8" i="7"/>
  <c r="AI8" i="7"/>
  <c r="AH8" i="7"/>
  <c r="AG8" i="7"/>
  <c r="AE8" i="7"/>
  <c r="AE11" i="7" s="1"/>
  <c r="AC8" i="7"/>
  <c r="W8" i="7"/>
  <c r="V8" i="7"/>
  <c r="J8" i="7"/>
  <c r="AJ7" i="7"/>
  <c r="AI7" i="7"/>
  <c r="AH7" i="7"/>
  <c r="AG7" i="7"/>
  <c r="AF7" i="7"/>
  <c r="AA7" i="7"/>
  <c r="Z7" i="7"/>
  <c r="Y7" i="7"/>
  <c r="X7" i="7"/>
  <c r="W7" i="7"/>
  <c r="AN8" i="6"/>
  <c r="AD6" i="6"/>
  <c r="A26" i="6"/>
  <c r="A25" i="6"/>
  <c r="Z14" i="6"/>
  <c r="Z13" i="6"/>
  <c r="AM8" i="6"/>
  <c r="AL8" i="6"/>
  <c r="AK8" i="6"/>
  <c r="AK11" i="6" s="1"/>
  <c r="AI8" i="6"/>
  <c r="AA8" i="6"/>
  <c r="Z8" i="6"/>
  <c r="L8" i="6"/>
  <c r="AN7" i="6"/>
  <c r="AM7" i="6"/>
  <c r="AL7" i="6"/>
  <c r="AK7" i="6"/>
  <c r="AK10" i="6" s="1"/>
  <c r="AI7" i="6"/>
  <c r="AA7" i="6"/>
  <c r="AB7" i="6" s="1"/>
  <c r="Z7" i="6"/>
  <c r="L7" i="6"/>
  <c r="AN6" i="6"/>
  <c r="AM6" i="6"/>
  <c r="AL6" i="6"/>
  <c r="AG6" i="6"/>
  <c r="AF6" i="6"/>
  <c r="AE6" i="6"/>
  <c r="AC6" i="6"/>
  <c r="AB6" i="6"/>
  <c r="AA6" i="6"/>
  <c r="U8" i="13" l="1"/>
  <c r="Y8" i="13"/>
  <c r="AC8" i="13"/>
  <c r="V8" i="13"/>
  <c r="S8" i="13"/>
  <c r="W8" i="13"/>
  <c r="AA8" i="13"/>
  <c r="T8" i="13"/>
  <c r="X8" i="13"/>
  <c r="AB8" i="13"/>
  <c r="Z8" i="13"/>
  <c r="U7" i="13"/>
  <c r="Y7" i="13"/>
  <c r="AA7" i="13"/>
  <c r="AC7" i="13"/>
  <c r="T7" i="13"/>
  <c r="V7" i="13"/>
  <c r="Z7" i="13"/>
  <c r="W7" i="13"/>
  <c r="X7" i="13"/>
  <c r="AB7" i="13"/>
  <c r="S7" i="13"/>
  <c r="V8" i="10"/>
  <c r="Z8" i="10"/>
  <c r="S8" i="10"/>
  <c r="AA8" i="10"/>
  <c r="W8" i="10"/>
  <c r="T8" i="10"/>
  <c r="X8" i="10"/>
  <c r="R8" i="10"/>
  <c r="U8" i="10"/>
  <c r="Y8" i="10"/>
  <c r="V7" i="10"/>
  <c r="Z7" i="10"/>
  <c r="R7" i="10"/>
  <c r="T7" i="10"/>
  <c r="U7" i="10"/>
  <c r="S7" i="10"/>
  <c r="W7" i="10"/>
  <c r="AA7" i="10"/>
  <c r="X7" i="10"/>
  <c r="Y7" i="10"/>
  <c r="T8" i="9"/>
  <c r="X8" i="9"/>
  <c r="U8" i="9"/>
  <c r="Y8" i="9"/>
  <c r="R8" i="9"/>
  <c r="V8" i="9"/>
  <c r="S8" i="9"/>
  <c r="W8" i="9"/>
  <c r="Q8" i="9"/>
  <c r="AV23" i="9"/>
  <c r="T7" i="9"/>
  <c r="X7" i="9"/>
  <c r="W7" i="9"/>
  <c r="Q7" i="9"/>
  <c r="U7" i="9"/>
  <c r="R7" i="9"/>
  <c r="V7" i="9"/>
  <c r="Y7" i="9"/>
  <c r="S7" i="9"/>
  <c r="S7" i="8"/>
  <c r="W7" i="8"/>
  <c r="P7" i="8"/>
  <c r="V7" i="8"/>
  <c r="T7" i="8"/>
  <c r="Q7" i="8"/>
  <c r="U7" i="8"/>
  <c r="R7" i="8"/>
  <c r="O8" i="6"/>
  <c r="S8" i="6"/>
  <c r="U8" i="6"/>
  <c r="P8" i="6"/>
  <c r="T8" i="6"/>
  <c r="Q8" i="6"/>
  <c r="R8" i="6"/>
  <c r="P7" i="6"/>
  <c r="T7" i="6"/>
  <c r="Q7" i="6"/>
  <c r="U7" i="6"/>
  <c r="R7" i="6"/>
  <c r="O7" i="6"/>
  <c r="S7" i="6"/>
  <c r="N7" i="12"/>
  <c r="M7" i="12"/>
  <c r="L7" i="12"/>
  <c r="M8" i="12"/>
  <c r="N8" i="12"/>
  <c r="L8" i="12"/>
  <c r="U12" i="14"/>
  <c r="Y12" i="14"/>
  <c r="AC12" i="14"/>
  <c r="AB12" i="14"/>
  <c r="V12" i="14"/>
  <c r="Z12" i="14"/>
  <c r="AD12" i="14"/>
  <c r="W12" i="14"/>
  <c r="AA12" i="14"/>
  <c r="AE12" i="14"/>
  <c r="X12" i="14"/>
  <c r="T12" i="14"/>
  <c r="T11" i="14"/>
  <c r="U11" i="14"/>
  <c r="Y11" i="14"/>
  <c r="AC11" i="14"/>
  <c r="V11" i="14"/>
  <c r="Z11" i="14"/>
  <c r="AD11" i="14"/>
  <c r="W11" i="14"/>
  <c r="AA11" i="14"/>
  <c r="AE11" i="14"/>
  <c r="X11" i="14"/>
  <c r="AB11" i="14"/>
  <c r="R8" i="8"/>
  <c r="S8" i="8"/>
  <c r="W8" i="8"/>
  <c r="T8" i="8"/>
  <c r="P8" i="8"/>
  <c r="Q8" i="8"/>
  <c r="U8" i="8"/>
  <c r="V8" i="8"/>
  <c r="AE13" i="8"/>
  <c r="L8" i="11"/>
  <c r="O8" i="11"/>
  <c r="M8" i="11"/>
  <c r="N8" i="11"/>
  <c r="M7" i="11"/>
  <c r="N7" i="11"/>
  <c r="O7" i="11"/>
  <c r="L7" i="11"/>
  <c r="W14" i="7"/>
  <c r="L9" i="7"/>
  <c r="P9" i="7"/>
  <c r="M9" i="7"/>
  <c r="N9" i="7"/>
  <c r="O9" i="7"/>
  <c r="P8" i="7"/>
  <c r="M8" i="7"/>
  <c r="L8" i="7"/>
  <c r="N8" i="7"/>
  <c r="O8" i="7"/>
  <c r="X15" i="7"/>
  <c r="BB28" i="14"/>
  <c r="BG20" i="14"/>
  <c r="BB27" i="14"/>
  <c r="BM11" i="14"/>
  <c r="BM12" i="14"/>
  <c r="AJ18" i="14"/>
  <c r="AK12" i="14"/>
  <c r="AJ17" i="14"/>
  <c r="AJ14" i="14"/>
  <c r="AK11" i="14"/>
  <c r="AQ27" i="14"/>
  <c r="AQ22" i="14"/>
  <c r="BA28" i="14"/>
  <c r="A20" i="14"/>
  <c r="BA27" i="14"/>
  <c r="BA23" i="13"/>
  <c r="AI14" i="13"/>
  <c r="AI10" i="13"/>
  <c r="AJ8" i="13"/>
  <c r="AK8" i="13" s="1"/>
  <c r="AP23" i="13"/>
  <c r="AP18" i="13"/>
  <c r="AI13" i="13"/>
  <c r="AI16" i="13" s="1"/>
  <c r="AZ24" i="13"/>
  <c r="AJ7" i="13"/>
  <c r="AK7" i="13" s="1"/>
  <c r="AZ23" i="13"/>
  <c r="BA24" i="13"/>
  <c r="BJ8" i="13"/>
  <c r="BJ7" i="13"/>
  <c r="A16" i="13"/>
  <c r="BE16" i="13"/>
  <c r="S14" i="12"/>
  <c r="S13" i="12"/>
  <c r="AH8" i="12"/>
  <c r="AL23" i="12"/>
  <c r="T7" i="12"/>
  <c r="A16" i="12"/>
  <c r="AA18" i="12"/>
  <c r="AA23" i="12"/>
  <c r="AH7" i="12"/>
  <c r="S10" i="12"/>
  <c r="AK24" i="12"/>
  <c r="T8" i="12"/>
  <c r="AI16" i="12"/>
  <c r="AK23" i="12"/>
  <c r="U14" i="11"/>
  <c r="V8" i="11"/>
  <c r="V14" i="11" s="1"/>
  <c r="AL23" i="11"/>
  <c r="AH8" i="11"/>
  <c r="B26" i="11" s="1"/>
  <c r="AA23" i="11"/>
  <c r="AH7" i="11"/>
  <c r="S14" i="11"/>
  <c r="AK24" i="11"/>
  <c r="S13" i="11"/>
  <c r="AA18" i="11"/>
  <c r="AA21" i="11" s="1"/>
  <c r="G15" i="11" s="1"/>
  <c r="T14" i="11"/>
  <c r="T7" i="11"/>
  <c r="U7" i="11" s="1"/>
  <c r="AI16" i="11"/>
  <c r="AK23" i="11"/>
  <c r="AL24" i="11"/>
  <c r="S10" i="11"/>
  <c r="A16" i="11"/>
  <c r="BG7" i="10"/>
  <c r="AY10" i="10" s="1"/>
  <c r="BG8" i="10"/>
  <c r="AH8" i="8"/>
  <c r="AI8" i="8" s="1"/>
  <c r="AJ8" i="8" s="1"/>
  <c r="AK8" i="8" s="1"/>
  <c r="AL8" i="8" s="1"/>
  <c r="AF7" i="8"/>
  <c r="AG7" i="8" s="1"/>
  <c r="AH7" i="8" s="1"/>
  <c r="AI7" i="8" s="1"/>
  <c r="AZ24" i="10"/>
  <c r="AH14" i="10"/>
  <c r="AI8" i="10"/>
  <c r="AI14" i="10" s="1"/>
  <c r="AI13" i="10"/>
  <c r="AJ7" i="10"/>
  <c r="AZ23" i="10"/>
  <c r="A16" i="10"/>
  <c r="AO23" i="10"/>
  <c r="AH10" i="10"/>
  <c r="BC16" i="10"/>
  <c r="AO18" i="10"/>
  <c r="AY24" i="10"/>
  <c r="AH13" i="10"/>
  <c r="AY23" i="10"/>
  <c r="AD13" i="9"/>
  <c r="AD14" i="9"/>
  <c r="BA8" i="9"/>
  <c r="AK23" i="9"/>
  <c r="AD10" i="9"/>
  <c r="A16" i="9"/>
  <c r="AU24" i="9"/>
  <c r="AE7" i="9"/>
  <c r="BA7" i="9"/>
  <c r="AU23" i="9"/>
  <c r="AV24" i="9"/>
  <c r="AK18" i="9"/>
  <c r="AE8" i="9"/>
  <c r="AX16" i="9"/>
  <c r="AZ7" i="8"/>
  <c r="AT10" i="8" s="1"/>
  <c r="AL23" i="8"/>
  <c r="AE10" i="8"/>
  <c r="AW23" i="8"/>
  <c r="AF14" i="8"/>
  <c r="AZ8" i="8"/>
  <c r="AT11" i="8" s="1"/>
  <c r="AE14" i="8"/>
  <c r="AE16" i="8" s="1"/>
  <c r="AL18" i="8"/>
  <c r="AV24" i="8"/>
  <c r="A16" i="8"/>
  <c r="AV23" i="8"/>
  <c r="AW24" i="8"/>
  <c r="AX16" i="8"/>
  <c r="AE19" i="7"/>
  <c r="Y9" i="7"/>
  <c r="Z9" i="7" s="1"/>
  <c r="Z15" i="7" s="1"/>
  <c r="AN26" i="7"/>
  <c r="X8" i="7"/>
  <c r="X11" i="7" s="1"/>
  <c r="W11" i="7"/>
  <c r="AN25" i="7"/>
  <c r="AL9" i="7"/>
  <c r="AM26" i="7"/>
  <c r="W15" i="7"/>
  <c r="AL8" i="7"/>
  <c r="AF11" i="7" s="1"/>
  <c r="AE24" i="7"/>
  <c r="A17" i="7"/>
  <c r="AM17" i="7"/>
  <c r="AM25" i="7"/>
  <c r="AC7" i="6"/>
  <c r="AD7" i="6" s="1"/>
  <c r="AB13" i="6"/>
  <c r="AT8" i="6"/>
  <c r="AT7" i="6"/>
  <c r="AS23" i="6"/>
  <c r="AA10" i="6"/>
  <c r="AB8" i="6"/>
  <c r="AB10" i="6" s="1"/>
  <c r="AA14" i="6"/>
  <c r="A16" i="6"/>
  <c r="AS16" i="6"/>
  <c r="AR23" i="6"/>
  <c r="AS24" i="6"/>
  <c r="AH18" i="6"/>
  <c r="AH23" i="6"/>
  <c r="AA13" i="6"/>
  <c r="AR24" i="6"/>
  <c r="AP20" i="13" l="1"/>
  <c r="H14" i="13" s="1"/>
  <c r="AP19" i="13"/>
  <c r="H13" i="13" s="1"/>
  <c r="BC10" i="10"/>
  <c r="BD10" i="10"/>
  <c r="AH10" i="8"/>
  <c r="X14" i="7"/>
  <c r="X17" i="7" s="1"/>
  <c r="BO11" i="14"/>
  <c r="BI15" i="14"/>
  <c r="BK15" i="14"/>
  <c r="BJ15" i="14"/>
  <c r="BH14" i="14"/>
  <c r="BK14" i="14"/>
  <c r="BI14" i="14"/>
  <c r="BJ14" i="14"/>
  <c r="BF14" i="14"/>
  <c r="B29" i="14"/>
  <c r="B30" i="14"/>
  <c r="BG14" i="14"/>
  <c r="BA14" i="14"/>
  <c r="AZ14" i="14"/>
  <c r="BC15" i="14"/>
  <c r="BF15" i="14"/>
  <c r="AZ15" i="14"/>
  <c r="BA15" i="14"/>
  <c r="BO12" i="14"/>
  <c r="BD14" i="14"/>
  <c r="BH15" i="14"/>
  <c r="BB15" i="14"/>
  <c r="BG15" i="14"/>
  <c r="BE15" i="14"/>
  <c r="BE14" i="14"/>
  <c r="BB14" i="14"/>
  <c r="BC14" i="14"/>
  <c r="BD15" i="14"/>
  <c r="AK18" i="14"/>
  <c r="AL12" i="14"/>
  <c r="AK17" i="14"/>
  <c r="AK14" i="14"/>
  <c r="AL11" i="14"/>
  <c r="AQ25" i="14"/>
  <c r="H19" i="14" s="1"/>
  <c r="AQ24" i="14"/>
  <c r="H18" i="14" s="1"/>
  <c r="AQ23" i="14"/>
  <c r="H17" i="14" s="1"/>
  <c r="AJ20" i="14"/>
  <c r="AZ11" i="13"/>
  <c r="BD11" i="13"/>
  <c r="BH11" i="13"/>
  <c r="BA11" i="13"/>
  <c r="BE11" i="13"/>
  <c r="BB11" i="13"/>
  <c r="BF11" i="13"/>
  <c r="BC11" i="13"/>
  <c r="BG11" i="13"/>
  <c r="BA10" i="13"/>
  <c r="BE10" i="13"/>
  <c r="BB10" i="13"/>
  <c r="BF10" i="13"/>
  <c r="BC10" i="13"/>
  <c r="BG10" i="13"/>
  <c r="AZ10" i="13"/>
  <c r="BD10" i="13"/>
  <c r="BH10" i="13"/>
  <c r="AL7" i="13"/>
  <c r="AK13" i="13"/>
  <c r="AK10" i="13"/>
  <c r="AL8" i="13"/>
  <c r="AK14" i="13"/>
  <c r="AJ14" i="13"/>
  <c r="AP21" i="13"/>
  <c r="H15" i="13" s="1"/>
  <c r="B26" i="13"/>
  <c r="AY11" i="13"/>
  <c r="AX11" i="13"/>
  <c r="AX10" i="13"/>
  <c r="B25" i="13"/>
  <c r="BL8" i="13"/>
  <c r="AY10" i="13"/>
  <c r="BL7" i="13"/>
  <c r="AJ13" i="13"/>
  <c r="AJ10" i="13"/>
  <c r="S16" i="12"/>
  <c r="AJ7" i="12"/>
  <c r="AD10" i="12"/>
  <c r="B25" i="12"/>
  <c r="AC10" i="12"/>
  <c r="AJ8" i="12"/>
  <c r="AB10" i="12"/>
  <c r="T10" i="12"/>
  <c r="U7" i="12"/>
  <c r="T13" i="12"/>
  <c r="T14" i="12"/>
  <c r="U8" i="12"/>
  <c r="AB11" i="12"/>
  <c r="AD11" i="12"/>
  <c r="B26" i="12"/>
  <c r="AC11" i="12"/>
  <c r="AA19" i="12"/>
  <c r="H13" i="12" s="1"/>
  <c r="AA20" i="12"/>
  <c r="H14" i="12" s="1"/>
  <c r="AA21" i="12"/>
  <c r="H15" i="12" s="1"/>
  <c r="B25" i="11"/>
  <c r="AD10" i="11"/>
  <c r="AE10" i="11"/>
  <c r="AC11" i="11"/>
  <c r="AD11" i="11"/>
  <c r="AE11" i="11"/>
  <c r="U13" i="11"/>
  <c r="U16" i="11" s="1"/>
  <c r="U10" i="11"/>
  <c r="V7" i="11"/>
  <c r="AB11" i="11"/>
  <c r="AC10" i="11"/>
  <c r="AJ7" i="11"/>
  <c r="AB10" i="11"/>
  <c r="AJ8" i="11"/>
  <c r="AA19" i="11"/>
  <c r="G13" i="11" s="1"/>
  <c r="AA20" i="11"/>
  <c r="G14" i="11" s="1"/>
  <c r="S16" i="11"/>
  <c r="T13" i="11"/>
  <c r="T16" i="11" s="1"/>
  <c r="T10" i="11"/>
  <c r="BA10" i="10"/>
  <c r="AZ10" i="10"/>
  <c r="BE10" i="10"/>
  <c r="BB10" i="10"/>
  <c r="AY11" i="10"/>
  <c r="AZ11" i="10"/>
  <c r="BD11" i="10"/>
  <c r="BA11" i="10"/>
  <c r="BE11" i="10"/>
  <c r="BB11" i="10"/>
  <c r="BC11" i="10"/>
  <c r="AT11" i="9"/>
  <c r="AX11" i="9"/>
  <c r="AU11" i="9"/>
  <c r="AY11" i="9"/>
  <c r="AV11" i="9"/>
  <c r="AW11" i="9"/>
  <c r="AV10" i="9"/>
  <c r="AX10" i="9"/>
  <c r="AY10" i="9"/>
  <c r="AW10" i="9"/>
  <c r="AT10" i="9"/>
  <c r="AU10" i="9"/>
  <c r="AG10" i="8"/>
  <c r="AW11" i="8"/>
  <c r="AR11" i="8"/>
  <c r="AS11" i="8"/>
  <c r="AQ10" i="8"/>
  <c r="AR10" i="8"/>
  <c r="AS10" i="8"/>
  <c r="AI10" i="8"/>
  <c r="AJ7" i="8"/>
  <c r="AW10" i="8"/>
  <c r="AI10" i="10"/>
  <c r="AH16" i="10"/>
  <c r="AJ8" i="10"/>
  <c r="AJ14" i="10" s="1"/>
  <c r="AI16" i="10"/>
  <c r="AK7" i="10"/>
  <c r="AJ13" i="10"/>
  <c r="AO21" i="10"/>
  <c r="H15" i="10" s="1"/>
  <c r="AO19" i="10"/>
  <c r="H13" i="10" s="1"/>
  <c r="AO20" i="10"/>
  <c r="H14" i="10" s="1"/>
  <c r="AV10" i="10"/>
  <c r="BI8" i="10"/>
  <c r="AX10" i="10"/>
  <c r="AW10" i="10"/>
  <c r="BI7" i="10"/>
  <c r="B25" i="10"/>
  <c r="AW11" i="10"/>
  <c r="AV11" i="10"/>
  <c r="BG11" i="10" s="1"/>
  <c r="B26" i="10"/>
  <c r="AX11" i="10"/>
  <c r="AR11" i="9"/>
  <c r="AS11" i="9"/>
  <c r="AQ11" i="9"/>
  <c r="AD16" i="9"/>
  <c r="B26" i="9"/>
  <c r="AK21" i="9"/>
  <c r="H15" i="9" s="1"/>
  <c r="AK20" i="9"/>
  <c r="H14" i="9" s="1"/>
  <c r="AK19" i="9"/>
  <c r="H13" i="9" s="1"/>
  <c r="AQ10" i="9"/>
  <c r="BC7" i="9"/>
  <c r="B25" i="9"/>
  <c r="AR10" i="9"/>
  <c r="BC8" i="9"/>
  <c r="AS10" i="9"/>
  <c r="AE14" i="9"/>
  <c r="AF8" i="9"/>
  <c r="AE13" i="9"/>
  <c r="AF7" i="9"/>
  <c r="AE10" i="9"/>
  <c r="AO10" i="6"/>
  <c r="AP10" i="6"/>
  <c r="AQ10" i="6"/>
  <c r="AR10" i="6"/>
  <c r="AO11" i="6"/>
  <c r="AP11" i="6"/>
  <c r="AQ11" i="6"/>
  <c r="AR11" i="6"/>
  <c r="AL21" i="8"/>
  <c r="H15" i="8" s="1"/>
  <c r="AL20" i="8"/>
  <c r="H14" i="8" s="1"/>
  <c r="AL19" i="8"/>
  <c r="H13" i="8" s="1"/>
  <c r="B26" i="8"/>
  <c r="AX11" i="8"/>
  <c r="AV11" i="8"/>
  <c r="AQ11" i="8"/>
  <c r="AU11" i="8"/>
  <c r="AG14" i="8"/>
  <c r="AU10" i="8"/>
  <c r="BB7" i="8"/>
  <c r="BB8" i="8"/>
  <c r="B25" i="8"/>
  <c r="AX10" i="8"/>
  <c r="AV10" i="8"/>
  <c r="AF13" i="8"/>
  <c r="AF16" i="8" s="1"/>
  <c r="AF10" i="8"/>
  <c r="AA9" i="7"/>
  <c r="AA15" i="7" s="1"/>
  <c r="Y15" i="7"/>
  <c r="W17" i="7"/>
  <c r="AG12" i="7"/>
  <c r="AF12" i="7"/>
  <c r="AH12" i="7"/>
  <c r="AI12" i="7"/>
  <c r="AJ12" i="7"/>
  <c r="Y8" i="7"/>
  <c r="B27" i="7"/>
  <c r="AH11" i="7"/>
  <c r="AG11" i="7"/>
  <c r="B26" i="7"/>
  <c r="AI11" i="7"/>
  <c r="AN9" i="7"/>
  <c r="AJ11" i="7"/>
  <c r="AN8" i="7"/>
  <c r="AE20" i="7"/>
  <c r="G14" i="7" s="1"/>
  <c r="AE21" i="7"/>
  <c r="G15" i="7" s="1"/>
  <c r="AE22" i="7"/>
  <c r="G16" i="7" s="1"/>
  <c r="AE7" i="6"/>
  <c r="AD13" i="6"/>
  <c r="AA16" i="6"/>
  <c r="AV8" i="6"/>
  <c r="B25" i="6"/>
  <c r="AL10" i="6"/>
  <c r="AN10" i="6"/>
  <c r="AM10" i="6"/>
  <c r="AV7" i="6"/>
  <c r="B26" i="6"/>
  <c r="AN11" i="6"/>
  <c r="AL11" i="6"/>
  <c r="AM11" i="6"/>
  <c r="AB14" i="6"/>
  <c r="AB16" i="6" s="1"/>
  <c r="AC8" i="6"/>
  <c r="AD8" i="6" s="1"/>
  <c r="AE8" i="6" s="1"/>
  <c r="AF8" i="6" s="1"/>
  <c r="AG8" i="6" s="1"/>
  <c r="AC13" i="6"/>
  <c r="AH20" i="6"/>
  <c r="H14" i="6" s="1"/>
  <c r="AH21" i="6"/>
  <c r="H15" i="6" s="1"/>
  <c r="AH19" i="6"/>
  <c r="H13" i="6" s="1"/>
  <c r="BG10" i="10" l="1"/>
  <c r="AK16" i="13"/>
  <c r="AK8" i="10"/>
  <c r="AL11" i="7"/>
  <c r="B35" i="7"/>
  <c r="BG17" i="14"/>
  <c r="BM14" i="14"/>
  <c r="BN14" i="14" s="1"/>
  <c r="C29" i="14" s="1"/>
  <c r="BM15" i="14"/>
  <c r="BN15" i="14" s="1"/>
  <c r="C30" i="14" s="1"/>
  <c r="AK20" i="14"/>
  <c r="AM11" i="14"/>
  <c r="AL14" i="14"/>
  <c r="AL17" i="14"/>
  <c r="AM12" i="14"/>
  <c r="AL18" i="14"/>
  <c r="BE13" i="13"/>
  <c r="AJ16" i="13"/>
  <c r="AM8" i="13"/>
  <c r="AL14" i="13"/>
  <c r="AM7" i="13"/>
  <c r="AL10" i="13"/>
  <c r="AL13" i="13"/>
  <c r="BJ10" i="13"/>
  <c r="BJ11" i="13"/>
  <c r="BK11" i="13" s="1"/>
  <c r="C26" i="13" s="1"/>
  <c r="AH10" i="12"/>
  <c r="AI10" i="12" s="1"/>
  <c r="U14" i="12"/>
  <c r="AH11" i="12"/>
  <c r="AI11" i="12" s="1"/>
  <c r="C26" i="12" s="1"/>
  <c r="T16" i="12"/>
  <c r="AI13" i="12"/>
  <c r="U13" i="12"/>
  <c r="U10" i="12"/>
  <c r="AI13" i="11"/>
  <c r="AH10" i="11"/>
  <c r="AI10" i="11" s="1"/>
  <c r="C25" i="11" s="1"/>
  <c r="AH11" i="11"/>
  <c r="AI11" i="11" s="1"/>
  <c r="C26" i="11" s="1"/>
  <c r="V13" i="11"/>
  <c r="V16" i="11" s="1"/>
  <c r="V10" i="11"/>
  <c r="BC13" i="10"/>
  <c r="AJ10" i="10"/>
  <c r="AK7" i="8"/>
  <c r="AJ10" i="8"/>
  <c r="AJ16" i="10"/>
  <c r="AL8" i="10"/>
  <c r="AK14" i="10"/>
  <c r="AK13" i="10"/>
  <c r="AK10" i="10"/>
  <c r="AL7" i="10"/>
  <c r="BH11" i="10"/>
  <c r="C26" i="10" s="1"/>
  <c r="BA11" i="9"/>
  <c r="BB11" i="9" s="1"/>
  <c r="C26" i="9" s="1"/>
  <c r="AF14" i="9"/>
  <c r="AG8" i="9"/>
  <c r="AF10" i="9"/>
  <c r="AF13" i="9"/>
  <c r="AG7" i="9"/>
  <c r="AX13" i="9"/>
  <c r="AE16" i="9"/>
  <c r="BA10" i="9"/>
  <c r="AZ10" i="8"/>
  <c r="AX13" i="8"/>
  <c r="AG13" i="8"/>
  <c r="AG16" i="8" s="1"/>
  <c r="AZ11" i="8"/>
  <c r="BA11" i="8" s="1"/>
  <c r="C26" i="8" s="1"/>
  <c r="AH14" i="8"/>
  <c r="Z8" i="7"/>
  <c r="Y14" i="7"/>
  <c r="Y17" i="7" s="1"/>
  <c r="Y11" i="7"/>
  <c r="AL12" i="7"/>
  <c r="AM12" i="7" s="1"/>
  <c r="C27" i="7" s="1"/>
  <c r="AM14" i="7"/>
  <c r="AF7" i="6"/>
  <c r="AE13" i="6"/>
  <c r="AE10" i="6"/>
  <c r="AT10" i="6"/>
  <c r="AS13" i="6"/>
  <c r="AD10" i="6"/>
  <c r="AD14" i="6"/>
  <c r="AD16" i="6" s="1"/>
  <c r="AC14" i="6"/>
  <c r="AC16" i="6" s="1"/>
  <c r="AC10" i="6"/>
  <c r="AT11" i="6"/>
  <c r="AU11" i="6" s="1"/>
  <c r="C26" i="6" s="1"/>
  <c r="AF16" i="9" l="1"/>
  <c r="U16" i="12"/>
  <c r="AK21" i="11"/>
  <c r="C31" i="11" s="1"/>
  <c r="E31" i="11" s="1"/>
  <c r="BA25" i="14"/>
  <c r="C35" i="14" s="1"/>
  <c r="E36" i="14" s="1"/>
  <c r="BG18" i="14"/>
  <c r="BG19" i="14" s="1"/>
  <c r="D24" i="14" s="1"/>
  <c r="AM17" i="14"/>
  <c r="AM14" i="14"/>
  <c r="AN11" i="14"/>
  <c r="AM18" i="14"/>
  <c r="AN12" i="14"/>
  <c r="AL20" i="14"/>
  <c r="AM10" i="13"/>
  <c r="AN7" i="13"/>
  <c r="AM13" i="13"/>
  <c r="AL16" i="13"/>
  <c r="AN8" i="13"/>
  <c r="AM14" i="13"/>
  <c r="AZ21" i="13"/>
  <c r="C31" i="13" s="1"/>
  <c r="BE14" i="13"/>
  <c r="BE15" i="13" s="1"/>
  <c r="BK10" i="13"/>
  <c r="C25" i="13" s="1"/>
  <c r="C25" i="12"/>
  <c r="AK21" i="12"/>
  <c r="C31" i="12" s="1"/>
  <c r="AI14" i="12"/>
  <c r="AI15" i="12" s="1"/>
  <c r="Y16" i="12"/>
  <c r="Y10" i="12"/>
  <c r="AI14" i="11"/>
  <c r="AI15" i="11" s="1"/>
  <c r="AK17" i="11" s="1"/>
  <c r="AK10" i="8"/>
  <c r="AL7" i="8"/>
  <c r="AL10" i="8" s="1"/>
  <c r="AK16" i="10"/>
  <c r="BC14" i="10"/>
  <c r="BC15" i="10" s="1"/>
  <c r="BH10" i="10"/>
  <c r="C25" i="10" s="1"/>
  <c r="AY21" i="10"/>
  <c r="C31" i="10" s="1"/>
  <c r="AM7" i="10"/>
  <c r="AL13" i="10"/>
  <c r="AL10" i="10"/>
  <c r="AM8" i="10"/>
  <c r="AL14" i="10"/>
  <c r="AG14" i="9"/>
  <c r="AH8" i="9"/>
  <c r="AG13" i="9"/>
  <c r="AH7" i="9"/>
  <c r="AG10" i="9"/>
  <c r="AX14" i="9"/>
  <c r="AX15" i="9" s="1"/>
  <c r="BB10" i="9"/>
  <c r="C25" i="9" s="1"/>
  <c r="AU21" i="9"/>
  <c r="C31" i="9" s="1"/>
  <c r="AH13" i="8"/>
  <c r="AH16" i="8" s="1"/>
  <c r="BA10" i="8"/>
  <c r="C25" i="8" s="1"/>
  <c r="AV21" i="8"/>
  <c r="C31" i="8" s="1"/>
  <c r="AX14" i="8"/>
  <c r="AX15" i="8" s="1"/>
  <c r="AV17" i="8" s="1"/>
  <c r="AW17" i="8" s="1"/>
  <c r="D21" i="8" s="1"/>
  <c r="AI14" i="8"/>
  <c r="Z14" i="7"/>
  <c r="Z17" i="7" s="1"/>
  <c r="AA8" i="7"/>
  <c r="Z11" i="7"/>
  <c r="AM15" i="7"/>
  <c r="AM16" i="7" s="1"/>
  <c r="AM19" i="7" s="1"/>
  <c r="AN19" i="7" s="1"/>
  <c r="D22" i="7" s="1"/>
  <c r="AM11" i="7"/>
  <c r="C26" i="7" s="1"/>
  <c r="AG7" i="6"/>
  <c r="AG10" i="6" s="1"/>
  <c r="AF10" i="6"/>
  <c r="AS14" i="6"/>
  <c r="AS15" i="6" s="1"/>
  <c r="AU10" i="6"/>
  <c r="C25" i="6" s="1"/>
  <c r="AR21" i="6"/>
  <c r="C31" i="6" s="1"/>
  <c r="AF13" i="6"/>
  <c r="AE14" i="6"/>
  <c r="AE16" i="6" s="1"/>
  <c r="A26" i="2"/>
  <c r="A25" i="2"/>
  <c r="K8" i="2"/>
  <c r="K7" i="2"/>
  <c r="W14" i="2"/>
  <c r="W13" i="2"/>
  <c r="X8" i="2"/>
  <c r="X7" i="2"/>
  <c r="W8" i="2"/>
  <c r="W7" i="2"/>
  <c r="Y6" i="2"/>
  <c r="Z6" i="2"/>
  <c r="AA6" i="2"/>
  <c r="AB6" i="2"/>
  <c r="AC6" i="2"/>
  <c r="X6" i="2"/>
  <c r="AE8" i="2"/>
  <c r="AH7" i="2"/>
  <c r="AI7" i="2"/>
  <c r="AE7" i="2"/>
  <c r="A16" i="2" s="1"/>
  <c r="AI8" i="2"/>
  <c r="AJ8" i="2"/>
  <c r="AK8" i="2"/>
  <c r="AL8" i="2"/>
  <c r="AM8" i="2"/>
  <c r="AH8" i="2"/>
  <c r="AJ7" i="2"/>
  <c r="AK7" i="2"/>
  <c r="AL7" i="2"/>
  <c r="AM7" i="2"/>
  <c r="AI6" i="2"/>
  <c r="AJ6" i="2"/>
  <c r="AK6" i="2"/>
  <c r="AL6" i="2"/>
  <c r="AM6" i="2"/>
  <c r="AH6" i="2"/>
  <c r="AG8" i="2"/>
  <c r="AG11" i="2" s="1"/>
  <c r="AG7" i="2"/>
  <c r="AG10" i="2" s="1"/>
  <c r="AM16" i="13" l="1"/>
  <c r="AK18" i="11"/>
  <c r="AL17" i="11"/>
  <c r="D21" i="11" s="1"/>
  <c r="P8" i="2"/>
  <c r="T8" i="2"/>
  <c r="Q8" i="2"/>
  <c r="U8" i="2"/>
  <c r="R8" i="2"/>
  <c r="S8" i="2"/>
  <c r="S7" i="2"/>
  <c r="R7" i="2"/>
  <c r="T7" i="2"/>
  <c r="U7" i="2"/>
  <c r="P7" i="2"/>
  <c r="Q7" i="2"/>
  <c r="E32" i="11"/>
  <c r="D32" i="11"/>
  <c r="D31" i="11"/>
  <c r="D36" i="14"/>
  <c r="E35" i="14"/>
  <c r="BA21" i="14"/>
  <c r="BB21" i="14" s="1"/>
  <c r="D25" i="14" s="1"/>
  <c r="D35" i="14"/>
  <c r="AN17" i="14"/>
  <c r="AN14" i="14"/>
  <c r="AO11" i="14"/>
  <c r="AM20" i="14"/>
  <c r="AN18" i="14"/>
  <c r="AO12" i="14"/>
  <c r="AO7" i="13"/>
  <c r="AN10" i="13"/>
  <c r="AN13" i="13"/>
  <c r="AO8" i="13"/>
  <c r="AN14" i="13"/>
  <c r="E32" i="13"/>
  <c r="D31" i="13"/>
  <c r="D32" i="13"/>
  <c r="E31" i="13"/>
  <c r="AZ17" i="13"/>
  <c r="BA17" i="13" s="1"/>
  <c r="D21" i="13" s="1"/>
  <c r="D20" i="13"/>
  <c r="AB21" i="12"/>
  <c r="I15" i="12" s="1"/>
  <c r="AB20" i="12"/>
  <c r="I14" i="12" s="1"/>
  <c r="AB19" i="12"/>
  <c r="I13" i="12" s="1"/>
  <c r="D20" i="11"/>
  <c r="AK17" i="12"/>
  <c r="AL17" i="12" s="1"/>
  <c r="D21" i="12" s="1"/>
  <c r="D20" i="12"/>
  <c r="Z23" i="12"/>
  <c r="AB23" i="12" s="1"/>
  <c r="Z24" i="12" s="1"/>
  <c r="AA24" i="12" s="1"/>
  <c r="L13" i="12" s="1"/>
  <c r="D12" i="12"/>
  <c r="D14" i="12" s="1"/>
  <c r="D32" i="12"/>
  <c r="E31" i="12"/>
  <c r="D31" i="12"/>
  <c r="E32" i="12"/>
  <c r="Y16" i="11"/>
  <c r="Y10" i="11"/>
  <c r="AO7" i="2"/>
  <c r="B25" i="2" s="1"/>
  <c r="AO23" i="2"/>
  <c r="AO24" i="2"/>
  <c r="AP24" i="2"/>
  <c r="AP23" i="2"/>
  <c r="AN7" i="10"/>
  <c r="AO7" i="10" s="1"/>
  <c r="AM13" i="10"/>
  <c r="AM10" i="10"/>
  <c r="AM14" i="10"/>
  <c r="AN8" i="10"/>
  <c r="AO8" i="10" s="1"/>
  <c r="D32" i="10"/>
  <c r="E32" i="10"/>
  <c r="E31" i="10"/>
  <c r="D31" i="10"/>
  <c r="AL16" i="10"/>
  <c r="AY17" i="10"/>
  <c r="AZ17" i="10" s="1"/>
  <c r="D21" i="10" s="1"/>
  <c r="D20" i="10"/>
  <c r="E32" i="9"/>
  <c r="D31" i="9"/>
  <c r="D32" i="9"/>
  <c r="E31" i="9"/>
  <c r="AU17" i="9"/>
  <c r="AV17" i="9" s="1"/>
  <c r="D21" i="9" s="1"/>
  <c r="D20" i="9"/>
  <c r="AG16" i="9"/>
  <c r="AH13" i="9"/>
  <c r="AI7" i="9"/>
  <c r="AJ7" i="9" s="1"/>
  <c r="AH10" i="9"/>
  <c r="AH14" i="9"/>
  <c r="AI8" i="9"/>
  <c r="AJ8" i="9" s="1"/>
  <c r="AK14" i="8"/>
  <c r="AJ14" i="8"/>
  <c r="AI13" i="8"/>
  <c r="AI16" i="8" s="1"/>
  <c r="D20" i="8"/>
  <c r="E32" i="8"/>
  <c r="D32" i="8"/>
  <c r="D31" i="8"/>
  <c r="E31" i="8"/>
  <c r="AM23" i="7"/>
  <c r="C32" i="7" s="1"/>
  <c r="E32" i="7" s="1"/>
  <c r="AA11" i="7"/>
  <c r="AC11" i="7" s="1"/>
  <c r="AA14" i="7"/>
  <c r="AA17" i="7" s="1"/>
  <c r="AC17" i="7" s="1"/>
  <c r="D21" i="7"/>
  <c r="AR17" i="6"/>
  <c r="AS17" i="6" s="1"/>
  <c r="D21" i="6" s="1"/>
  <c r="D20" i="6"/>
  <c r="AG14" i="6"/>
  <c r="AF14" i="6"/>
  <c r="AF16" i="6" s="1"/>
  <c r="AG13" i="6"/>
  <c r="E32" i="6"/>
  <c r="E31" i="6"/>
  <c r="D31" i="6"/>
  <c r="D32" i="6"/>
  <c r="AE23" i="2"/>
  <c r="AE18" i="2"/>
  <c r="X10" i="2"/>
  <c r="X14" i="2"/>
  <c r="Y7" i="2"/>
  <c r="Z7" i="2" s="1"/>
  <c r="Z13" i="2" s="1"/>
  <c r="Y8" i="2"/>
  <c r="X13" i="2"/>
  <c r="AO16" i="2"/>
  <c r="AO8" i="2"/>
  <c r="AN16" i="13" l="1"/>
  <c r="AK19" i="11"/>
  <c r="AK20" i="11" s="1"/>
  <c r="C28" i="11" s="1"/>
  <c r="AL18" i="11"/>
  <c r="D22" i="11" s="1"/>
  <c r="BA22" i="14"/>
  <c r="AO17" i="14"/>
  <c r="AO14" i="14"/>
  <c r="AP11" i="14"/>
  <c r="AO18" i="14"/>
  <c r="AP12" i="14"/>
  <c r="AN20" i="14"/>
  <c r="AP8" i="13"/>
  <c r="AO14" i="13"/>
  <c r="AO10" i="13"/>
  <c r="AO13" i="13"/>
  <c r="AP7" i="13"/>
  <c r="AZ18" i="13"/>
  <c r="Z23" i="11"/>
  <c r="AB23" i="11" s="1"/>
  <c r="Z24" i="11" s="1"/>
  <c r="AB21" i="11"/>
  <c r="H15" i="11" s="1"/>
  <c r="AB20" i="11"/>
  <c r="H14" i="11" s="1"/>
  <c r="AB19" i="11"/>
  <c r="H13" i="11" s="1"/>
  <c r="AD24" i="7"/>
  <c r="AF24" i="7" s="1"/>
  <c r="AD25" i="7" s="1"/>
  <c r="AE25" i="7" s="1"/>
  <c r="K14" i="7" s="1"/>
  <c r="AF21" i="7"/>
  <c r="H15" i="7" s="1"/>
  <c r="AF22" i="7"/>
  <c r="H16" i="7" s="1"/>
  <c r="AF20" i="7"/>
  <c r="H14" i="7" s="1"/>
  <c r="Z26" i="12"/>
  <c r="AK18" i="12"/>
  <c r="D12" i="11"/>
  <c r="D14" i="11" s="1"/>
  <c r="AH16" i="9"/>
  <c r="D33" i="7"/>
  <c r="E33" i="7"/>
  <c r="AP8" i="10"/>
  <c r="AO14" i="10"/>
  <c r="AP7" i="10"/>
  <c r="AO10" i="10"/>
  <c r="AO13" i="10"/>
  <c r="AY18" i="10"/>
  <c r="AM16" i="10"/>
  <c r="AN14" i="10"/>
  <c r="AN13" i="10"/>
  <c r="AN10" i="10"/>
  <c r="AK7" i="9"/>
  <c r="AJ13" i="9"/>
  <c r="AJ10" i="9"/>
  <c r="AK8" i="9"/>
  <c r="AJ14" i="9"/>
  <c r="AI14" i="9"/>
  <c r="AI13" i="9"/>
  <c r="AI10" i="9"/>
  <c r="AU18" i="9"/>
  <c r="AL13" i="8"/>
  <c r="AK13" i="8"/>
  <c r="AK16" i="8" s="1"/>
  <c r="AL14" i="8"/>
  <c r="AV18" i="8"/>
  <c r="AJ13" i="8"/>
  <c r="AJ16" i="8" s="1"/>
  <c r="D32" i="7"/>
  <c r="D13" i="7"/>
  <c r="D15" i="7" s="1"/>
  <c r="AM20" i="7"/>
  <c r="AG16" i="6"/>
  <c r="AI16" i="6" s="1"/>
  <c r="AR18" i="6"/>
  <c r="AI10" i="6"/>
  <c r="AE19" i="2"/>
  <c r="H13" i="2" s="1"/>
  <c r="AE21" i="2"/>
  <c r="H15" i="2" s="1"/>
  <c r="AE20" i="2"/>
  <c r="H14" i="2" s="1"/>
  <c r="AA7" i="2"/>
  <c r="AB7" i="2" s="1"/>
  <c r="X16" i="2"/>
  <c r="Y13" i="2"/>
  <c r="AJ11" i="2"/>
  <c r="B26" i="2"/>
  <c r="Z8" i="2"/>
  <c r="Y14" i="2"/>
  <c r="Y10" i="2"/>
  <c r="AH10" i="2"/>
  <c r="AJ10" i="2"/>
  <c r="AI11" i="2"/>
  <c r="AM11" i="2"/>
  <c r="AQ8" i="2"/>
  <c r="AH11" i="2"/>
  <c r="AQ7" i="2"/>
  <c r="AK11" i="2"/>
  <c r="AL11" i="2"/>
  <c r="AK10" i="2"/>
  <c r="AI10" i="2"/>
  <c r="AL10" i="2"/>
  <c r="AM10" i="2"/>
  <c r="BA23" i="14" l="1"/>
  <c r="BA24" i="14" s="1"/>
  <c r="C32" i="14" s="1"/>
  <c r="BB22" i="14"/>
  <c r="D26" i="14" s="1"/>
  <c r="AO16" i="13"/>
  <c r="AZ19" i="13"/>
  <c r="AZ20" i="13" s="1"/>
  <c r="C28" i="13" s="1"/>
  <c r="BA18" i="13"/>
  <c r="D22" i="13" s="1"/>
  <c r="AY19" i="10"/>
  <c r="AY20" i="10" s="1"/>
  <c r="C28" i="10" s="1"/>
  <c r="AZ18" i="10"/>
  <c r="D22" i="10" s="1"/>
  <c r="AU19" i="9"/>
  <c r="AU20" i="9" s="1"/>
  <c r="C28" i="9" s="1"/>
  <c r="AV18" i="9"/>
  <c r="D22" i="9" s="1"/>
  <c r="AV19" i="8"/>
  <c r="AV20" i="8" s="1"/>
  <c r="C28" i="8" s="1"/>
  <c r="AW18" i="8"/>
  <c r="D22" i="8" s="1"/>
  <c r="AR19" i="6"/>
  <c r="AR20" i="6" s="1"/>
  <c r="C28" i="6" s="1"/>
  <c r="AS18" i="6"/>
  <c r="D22" i="6" s="1"/>
  <c r="AA26" i="12"/>
  <c r="L12" i="12" s="1"/>
  <c r="AK19" i="12"/>
  <c r="AK20" i="12" s="1"/>
  <c r="C28" i="12" s="1"/>
  <c r="AL18" i="12"/>
  <c r="D22" i="12" s="1"/>
  <c r="Z26" i="11"/>
  <c r="AA24" i="11"/>
  <c r="L13" i="11" s="1"/>
  <c r="AM21" i="7"/>
  <c r="AM22" i="7" s="1"/>
  <c r="C29" i="7" s="1"/>
  <c r="AN20" i="7"/>
  <c r="D23" i="7" s="1"/>
  <c r="AD27" i="7"/>
  <c r="AQ11" i="14"/>
  <c r="AP17" i="14"/>
  <c r="AP14" i="14"/>
  <c r="AQ12" i="14"/>
  <c r="AP18" i="14"/>
  <c r="AO20" i="14"/>
  <c r="AP10" i="13"/>
  <c r="AP13" i="13"/>
  <c r="AQ7" i="13"/>
  <c r="AQ8" i="13"/>
  <c r="AP14" i="13"/>
  <c r="AI16" i="9"/>
  <c r="AQ7" i="10"/>
  <c r="AP13" i="10"/>
  <c r="AP10" i="10"/>
  <c r="AO16" i="10"/>
  <c r="AQ8" i="10"/>
  <c r="AQ14" i="10" s="1"/>
  <c r="AP14" i="10"/>
  <c r="AN16" i="10"/>
  <c r="AL8" i="9"/>
  <c r="AL14" i="9" s="1"/>
  <c r="AK14" i="9"/>
  <c r="AJ16" i="9"/>
  <c r="AL7" i="9"/>
  <c r="AK13" i="9"/>
  <c r="AK10" i="9"/>
  <c r="AL16" i="8"/>
  <c r="AN16" i="8" s="1"/>
  <c r="AN10" i="8"/>
  <c r="AG23" i="6"/>
  <c r="AI23" i="6" s="1"/>
  <c r="AG24" i="6" s="1"/>
  <c r="AH24" i="6" s="1"/>
  <c r="M14" i="6" s="1"/>
  <c r="AI20" i="6"/>
  <c r="I14" i="6" s="1"/>
  <c r="AI19" i="6"/>
  <c r="I13" i="6" s="1"/>
  <c r="AI21" i="6"/>
  <c r="I15" i="6" s="1"/>
  <c r="D12" i="6"/>
  <c r="D14" i="6" s="1"/>
  <c r="AA13" i="2"/>
  <c r="Y16" i="2"/>
  <c r="Z10" i="2"/>
  <c r="AA8" i="2"/>
  <c r="Z14" i="2"/>
  <c r="Z16" i="2" s="1"/>
  <c r="AB13" i="2"/>
  <c r="AC7" i="2"/>
  <c r="AO13" i="2"/>
  <c r="AO11" i="2"/>
  <c r="AO10" i="2"/>
  <c r="AP16" i="13" l="1"/>
  <c r="AA26" i="11"/>
  <c r="L12" i="11" s="1"/>
  <c r="AE27" i="7"/>
  <c r="K13" i="7" s="1"/>
  <c r="AK16" i="9"/>
  <c r="AP20" i="14"/>
  <c r="AQ18" i="14"/>
  <c r="AR12" i="14"/>
  <c r="AS12" i="14" s="1"/>
  <c r="AQ17" i="14"/>
  <c r="AQ14" i="14"/>
  <c r="AR11" i="14"/>
  <c r="AS11" i="14" s="1"/>
  <c r="AR8" i="13"/>
  <c r="AQ14" i="13"/>
  <c r="AR7" i="13"/>
  <c r="AQ10" i="13"/>
  <c r="AQ13" i="13"/>
  <c r="AO21" i="2"/>
  <c r="C31" i="2" s="1"/>
  <c r="D32" i="2" s="1"/>
  <c r="AP16" i="10"/>
  <c r="AQ10" i="10"/>
  <c r="AS10" i="10" s="1"/>
  <c r="AQ13" i="10"/>
  <c r="AQ16" i="10" s="1"/>
  <c r="AL13" i="9"/>
  <c r="AL16" i="9" s="1"/>
  <c r="AN16" i="9" s="1"/>
  <c r="AL10" i="9"/>
  <c r="AN10" i="9" s="1"/>
  <c r="AK23" i="8"/>
  <c r="AM23" i="8" s="1"/>
  <c r="AK24" i="8" s="1"/>
  <c r="AL24" i="8" s="1"/>
  <c r="L14" i="8" s="1"/>
  <c r="AM21" i="8"/>
  <c r="I15" i="8" s="1"/>
  <c r="AM20" i="8"/>
  <c r="I14" i="8" s="1"/>
  <c r="AM19" i="8"/>
  <c r="I13" i="8" s="1"/>
  <c r="D12" i="8"/>
  <c r="D14" i="8" s="1"/>
  <c r="AG26" i="6"/>
  <c r="AA10" i="2"/>
  <c r="AA14" i="2"/>
  <c r="AA16" i="2" s="1"/>
  <c r="AB8" i="2"/>
  <c r="AC13" i="2"/>
  <c r="AO14" i="2"/>
  <c r="AP11" i="2"/>
  <c r="C26" i="2" s="1"/>
  <c r="AP10" i="2"/>
  <c r="C25" i="2" s="1"/>
  <c r="D20" i="2" l="1"/>
  <c r="AO15" i="2"/>
  <c r="AH26" i="6"/>
  <c r="M13" i="6" s="1"/>
  <c r="AQ20" i="14"/>
  <c r="AT12" i="14"/>
  <c r="AS18" i="14"/>
  <c r="AT11" i="14"/>
  <c r="AS17" i="14"/>
  <c r="AS14" i="14"/>
  <c r="AR18" i="14"/>
  <c r="AR17" i="14"/>
  <c r="AR14" i="14"/>
  <c r="AR10" i="13"/>
  <c r="AR13" i="13"/>
  <c r="AS7" i="13"/>
  <c r="AQ16" i="13"/>
  <c r="AS8" i="13"/>
  <c r="AS14" i="13" s="1"/>
  <c r="AR14" i="13"/>
  <c r="D31" i="2"/>
  <c r="E32" i="2"/>
  <c r="E31" i="2"/>
  <c r="AS16" i="10"/>
  <c r="AN23" i="10" s="1"/>
  <c r="AP23" i="10" s="1"/>
  <c r="AN24" i="10" s="1"/>
  <c r="AO24" i="10" s="1"/>
  <c r="M14" i="10" s="1"/>
  <c r="D12" i="9"/>
  <c r="D14" i="9" s="1"/>
  <c r="AJ23" i="9"/>
  <c r="AL23" i="9" s="1"/>
  <c r="AJ24" i="9" s="1"/>
  <c r="AK24" i="9" s="1"/>
  <c r="M14" i="9" s="1"/>
  <c r="AL21" i="9"/>
  <c r="I15" i="9" s="1"/>
  <c r="AL20" i="9"/>
  <c r="I14" i="9" s="1"/>
  <c r="AL19" i="9"/>
  <c r="I13" i="9" s="1"/>
  <c r="AK26" i="8"/>
  <c r="AB14" i="2"/>
  <c r="AB16" i="2" s="1"/>
  <c r="AC8" i="2"/>
  <c r="AB10" i="2"/>
  <c r="AO17" i="2"/>
  <c r="AP17" i="2" s="1"/>
  <c r="D21" i="2" s="1"/>
  <c r="AL26" i="8" l="1"/>
  <c r="L13" i="8" s="1"/>
  <c r="AR20" i="14"/>
  <c r="AS20" i="14"/>
  <c r="AU11" i="14"/>
  <c r="AT17" i="14"/>
  <c r="AT14" i="14"/>
  <c r="AU12" i="14"/>
  <c r="AU18" i="14" s="1"/>
  <c r="AT18" i="14"/>
  <c r="AR16" i="13"/>
  <c r="AS13" i="13"/>
  <c r="AS16" i="13" s="1"/>
  <c r="AS10" i="13"/>
  <c r="AU10" i="13" s="1"/>
  <c r="AP19" i="10"/>
  <c r="I13" i="10" s="1"/>
  <c r="D12" i="10"/>
  <c r="D14" i="10" s="1"/>
  <c r="AP20" i="10"/>
  <c r="I14" i="10" s="1"/>
  <c r="AP21" i="10"/>
  <c r="I15" i="10" s="1"/>
  <c r="AN26" i="10"/>
  <c r="AJ26" i="9"/>
  <c r="AO18" i="2"/>
  <c r="AC14" i="2"/>
  <c r="AC16" i="2" s="1"/>
  <c r="AE16" i="2" s="1"/>
  <c r="AC10" i="2"/>
  <c r="AE10" i="2" s="1"/>
  <c r="AU16" i="13" l="1"/>
  <c r="AQ19" i="13" s="1"/>
  <c r="I13" i="13" s="1"/>
  <c r="AO26" i="10"/>
  <c r="M13" i="10" s="1"/>
  <c r="AK26" i="9"/>
  <c r="M13" i="9" s="1"/>
  <c r="AO19" i="2"/>
  <c r="AO20" i="2" s="1"/>
  <c r="C28" i="2" s="1"/>
  <c r="AP18" i="2"/>
  <c r="D22" i="2" s="1"/>
  <c r="AD23" i="2"/>
  <c r="AF23" i="2" s="1"/>
  <c r="AD24" i="2" s="1"/>
  <c r="M14" i="2" s="1"/>
  <c r="AF19" i="2"/>
  <c r="I13" i="2" s="1"/>
  <c r="AF20" i="2"/>
  <c r="I14" i="2" s="1"/>
  <c r="AF21" i="2"/>
  <c r="I15" i="2" s="1"/>
  <c r="AT20" i="14"/>
  <c r="AU14" i="14"/>
  <c r="AW14" i="14" s="1"/>
  <c r="AU17" i="14"/>
  <c r="AU20" i="14" s="1"/>
  <c r="D12" i="2"/>
  <c r="D14" i="2" s="1"/>
  <c r="AO23" i="13" l="1"/>
  <c r="AQ23" i="13" s="1"/>
  <c r="AO24" i="13" s="1"/>
  <c r="AP24" i="13" s="1"/>
  <c r="M14" i="13" s="1"/>
  <c r="AQ20" i="13"/>
  <c r="I14" i="13" s="1"/>
  <c r="AQ21" i="13"/>
  <c r="I15" i="13" s="1"/>
  <c r="D12" i="13"/>
  <c r="D14" i="13" s="1"/>
  <c r="AD25" i="2"/>
  <c r="AD26" i="2" s="1"/>
  <c r="AE26" i="2" s="1"/>
  <c r="M13" i="2" s="1"/>
  <c r="AE24" i="2"/>
  <c r="AW20" i="14"/>
  <c r="AR24" i="14" s="1"/>
  <c r="I18" i="14" s="1"/>
  <c r="AO26" i="13" l="1"/>
  <c r="AP26" i="13" s="1"/>
  <c r="M13" i="13" s="1"/>
  <c r="AP27" i="14"/>
  <c r="AR27" i="14" s="1"/>
  <c r="AP28" i="14" s="1"/>
  <c r="AQ28" i="14" s="1"/>
  <c r="M18" i="14" s="1"/>
  <c r="AR23" i="14"/>
  <c r="I17" i="14" s="1"/>
  <c r="AR25" i="14"/>
  <c r="I19" i="14" s="1"/>
  <c r="D16" i="14"/>
  <c r="D18" i="14" s="1"/>
  <c r="AP30" i="14" l="1"/>
  <c r="AQ30" i="14" l="1"/>
  <c r="M17" i="14" s="1"/>
</calcChain>
</file>

<file path=xl/sharedStrings.xml><?xml version="1.0" encoding="utf-8"?>
<sst xmlns="http://schemas.openxmlformats.org/spreadsheetml/2006/main" count="661" uniqueCount="113">
  <si>
    <t>df</t>
  </si>
  <si>
    <t>Very Angular</t>
  </si>
  <si>
    <t>Angular</t>
  </si>
  <si>
    <t>Sub-angular</t>
  </si>
  <si>
    <t>Sub-rounded</t>
  </si>
  <si>
    <t>Rounded</t>
  </si>
  <si>
    <t>Well-rounded</t>
  </si>
  <si>
    <t>Totals</t>
  </si>
  <si>
    <t>Coding</t>
  </si>
  <si>
    <t>Mean</t>
  </si>
  <si>
    <t>var</t>
  </si>
  <si>
    <t>SD</t>
  </si>
  <si>
    <t>diff mean</t>
  </si>
  <si>
    <t>rootvar</t>
  </si>
  <si>
    <t>t</t>
  </si>
  <si>
    <t>max</t>
  </si>
  <si>
    <t>min</t>
  </si>
  <si>
    <t>diff</t>
  </si>
  <si>
    <t>D-max</t>
  </si>
  <si>
    <t xml:space="preserve">Dmax = </t>
  </si>
  <si>
    <t>Effect size:</t>
  </si>
  <si>
    <t xml:space="preserve">D = </t>
  </si>
  <si>
    <t>Student's t-test</t>
  </si>
  <si>
    <t xml:space="preserve">2-tail </t>
  </si>
  <si>
    <t>1-tail</t>
  </si>
  <si>
    <t>p =</t>
  </si>
  <si>
    <t>t =</t>
  </si>
  <si>
    <t>mean</t>
  </si>
  <si>
    <t>stdev</t>
  </si>
  <si>
    <t>Workings</t>
  </si>
  <si>
    <t>2 tail p</t>
  </si>
  <si>
    <t>chi2</t>
  </si>
  <si>
    <t>one tail p</t>
  </si>
  <si>
    <t>two tail</t>
  </si>
  <si>
    <t>1 tail p</t>
  </si>
  <si>
    <t>z</t>
  </si>
  <si>
    <t>r</t>
  </si>
  <si>
    <t>Effect size r</t>
  </si>
  <si>
    <t>f ratio</t>
  </si>
  <si>
    <t>F ratio:</t>
  </si>
  <si>
    <t>5%crit</t>
  </si>
  <si>
    <t>1%crit</t>
  </si>
  <si>
    <t>2 tail</t>
  </si>
  <si>
    <t>1 tail</t>
  </si>
  <si>
    <t>SA</t>
  </si>
  <si>
    <t>A</t>
  </si>
  <si>
    <t>D</t>
  </si>
  <si>
    <t>VSD</t>
  </si>
  <si>
    <t>VSA</t>
  </si>
  <si>
    <t>Male</t>
  </si>
  <si>
    <t>Female</t>
  </si>
  <si>
    <t>B</t>
  </si>
  <si>
    <t>C</t>
  </si>
  <si>
    <t>E</t>
  </si>
  <si>
    <t>N</t>
  </si>
  <si>
    <t>Strongly agree</t>
  </si>
  <si>
    <t>Agree</t>
  </si>
  <si>
    <t>Disagree</t>
  </si>
  <si>
    <t>Strongly disagree</t>
  </si>
  <si>
    <t>p = 0.05</t>
  </si>
  <si>
    <t>2-tail critical values</t>
  </si>
  <si>
    <t>p = 0.01</t>
  </si>
  <si>
    <t>Sig?</t>
  </si>
  <si>
    <t>F</t>
  </si>
  <si>
    <t>G</t>
  </si>
  <si>
    <t>H</t>
  </si>
  <si>
    <t>I</t>
  </si>
  <si>
    <t>J</t>
  </si>
  <si>
    <t>K</t>
  </si>
  <si>
    <t>m</t>
  </si>
  <si>
    <t>f</t>
  </si>
  <si>
    <t>Calculates the percentages</t>
  </si>
  <si>
    <t>This table calculates the percentages</t>
  </si>
  <si>
    <t>p = 0.001</t>
  </si>
  <si>
    <t>These are the cumulative counts</t>
  </si>
  <si>
    <t>These are the cumulative proportions</t>
  </si>
  <si>
    <t>Counts weighted by the coding</t>
  </si>
  <si>
    <t>Changed to percentages</t>
  </si>
  <si>
    <t>Calculates the percentage values</t>
  </si>
  <si>
    <t>Group 1</t>
  </si>
  <si>
    <t>Group 2</t>
  </si>
  <si>
    <t>Jan</t>
  </si>
  <si>
    <t>Feb</t>
  </si>
  <si>
    <t>Mar</t>
  </si>
  <si>
    <t>Apr</t>
  </si>
  <si>
    <t>May</t>
  </si>
  <si>
    <t>Jun</t>
  </si>
  <si>
    <t>Jul</t>
  </si>
  <si>
    <t>Aug</t>
  </si>
  <si>
    <t>Sep</t>
  </si>
  <si>
    <t>Oct</t>
  </si>
  <si>
    <t>Nov</t>
  </si>
  <si>
    <t>Dec</t>
  </si>
  <si>
    <t>Sample A</t>
  </si>
  <si>
    <t>Sample B</t>
  </si>
  <si>
    <t>X2</t>
  </si>
  <si>
    <t>Signif?</t>
  </si>
  <si>
    <t>Estimated p values</t>
  </si>
  <si>
    <t>This is the effect size for the t-test</t>
  </si>
  <si>
    <t>Fareham</t>
  </si>
  <si>
    <t>Gosport</t>
  </si>
  <si>
    <t>Group 1-3</t>
  </si>
  <si>
    <t>Group 6-7-</t>
  </si>
  <si>
    <t>Group 4-5</t>
  </si>
  <si>
    <t>Group 8-9</t>
  </si>
  <si>
    <t>Openings</t>
  </si>
  <si>
    <t>Closings</t>
  </si>
  <si>
    <t>Same</t>
  </si>
  <si>
    <t>Very inexpensive</t>
  </si>
  <si>
    <t>Inexpensive</t>
  </si>
  <si>
    <t>Affordable</t>
  </si>
  <si>
    <t>Expensive</t>
  </si>
  <si>
    <t>Very expensive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</si>
</sst>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8" x14ac:knownFonts="1">
    <font>
      <sz val="11"/>
      <color theme="1"/>
      <name val="Calibri"/>
      <family val="2"/>
      <scheme val="minor"/>
    </font>
    <font>
      <sz val="12"/>
      <color rgb="FF000000"/>
      <name val="Times New Roman"/>
      <family val="1"/>
    </font>
    <font>
      <sz val="12"/>
      <color theme="1"/>
      <name val="Calibri"/>
      <family val="2"/>
      <scheme val="minor"/>
    </font>
    <font>
      <sz val="14"/>
      <color theme="1"/>
      <name val="Calibri"/>
      <family val="2"/>
      <scheme val="minor"/>
    </font>
    <font>
      <b/>
      <sz val="14"/>
      <color theme="1"/>
      <name val="Calibri"/>
      <family val="2"/>
      <scheme val="minor"/>
    </font>
    <font>
      <sz val="14"/>
      <color rgb="FF000000"/>
      <name val="Times New Roman"/>
      <family val="1"/>
    </font>
    <font>
      <b/>
      <sz val="11"/>
      <color theme="1"/>
      <name val="Calibri"/>
      <family val="2"/>
      <scheme val="minor"/>
    </font>
    <font>
      <b/>
      <sz val="12"/>
      <color theme="1"/>
      <name val="Calibri"/>
      <family val="2"/>
      <scheme val="minor"/>
    </font>
  </fonts>
  <fills count="2">
    <fill>
      <patternFill patternType="none"/>
    </fill>
    <fill>
      <patternFill patternType="gray125"/>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42">
    <xf numFmtId="0" fontId="0" fillId="0" borderId="0" xfId="0"/>
    <xf numFmtId="164" fontId="0" fillId="0" borderId="0" xfId="0" applyNumberFormat="1"/>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0" xfId="0" applyAlignment="1">
      <alignment wrapText="1"/>
    </xf>
    <xf numFmtId="2" fontId="0" fillId="0" borderId="0" xfId="0" applyNumberFormat="1"/>
    <xf numFmtId="0" fontId="3" fillId="0" borderId="4" xfId="0" applyFont="1" applyBorder="1" applyAlignment="1">
      <alignment horizontal="center"/>
    </xf>
    <xf numFmtId="0" fontId="2" fillId="0" borderId="0" xfId="0" applyFont="1"/>
    <xf numFmtId="0" fontId="3" fillId="0" borderId="0" xfId="0" applyFont="1"/>
    <xf numFmtId="0" fontId="1" fillId="0" borderId="0" xfId="0" applyFont="1" applyFill="1" applyBorder="1" applyAlignment="1">
      <alignment horizontal="center" vertical="center" wrapText="1"/>
    </xf>
    <xf numFmtId="0" fontId="3" fillId="0" borderId="0" xfId="0" applyFont="1" applyAlignment="1"/>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 fillId="0" borderId="0" xfId="0" applyFont="1" applyBorder="1" applyAlignment="1">
      <alignment horizontal="center" vertical="center" wrapText="1"/>
    </xf>
    <xf numFmtId="0" fontId="4" fillId="0" borderId="0" xfId="0" applyFont="1" applyAlignment="1">
      <alignment vertical="center"/>
    </xf>
    <xf numFmtId="0" fontId="0" fillId="0" borderId="0" xfId="0" applyFill="1"/>
    <xf numFmtId="0" fontId="0" fillId="0" borderId="0" xfId="0" applyAlignment="1">
      <alignment vertical="center" wrapText="1"/>
    </xf>
    <xf numFmtId="0" fontId="2" fillId="0" borderId="0" xfId="0" applyFont="1" applyAlignment="1">
      <alignment wrapText="1"/>
    </xf>
    <xf numFmtId="0" fontId="5" fillId="0" borderId="0" xfId="0" applyFont="1" applyBorder="1" applyAlignment="1">
      <alignment horizontal="center" vertical="center" wrapText="1"/>
    </xf>
    <xf numFmtId="0" fontId="1" fillId="0" borderId="4" xfId="0" applyFont="1" applyBorder="1" applyAlignment="1">
      <alignment horizontal="center" vertical="center" wrapText="1"/>
    </xf>
    <xf numFmtId="165" fontId="0" fillId="0" borderId="0" xfId="0" applyNumberFormat="1"/>
    <xf numFmtId="164" fontId="2" fillId="0" borderId="0" xfId="0" applyNumberFormat="1" applyFont="1"/>
    <xf numFmtId="0" fontId="6" fillId="0" borderId="0" xfId="0" applyFont="1" applyAlignment="1">
      <alignment horizontal="center"/>
    </xf>
    <xf numFmtId="0" fontId="3" fillId="0" borderId="0" xfId="0" applyFont="1" applyBorder="1" applyAlignment="1">
      <alignment horizontal="center"/>
    </xf>
    <xf numFmtId="0" fontId="0" fillId="0" borderId="0" xfId="0" applyBorder="1"/>
    <xf numFmtId="0" fontId="3" fillId="0" borderId="0" xfId="0" applyFont="1" applyBorder="1"/>
    <xf numFmtId="0" fontId="1" fillId="0" borderId="0" xfId="0" applyFont="1" applyBorder="1" applyAlignment="1">
      <alignment horizontal="center" vertical="center"/>
    </xf>
    <xf numFmtId="1" fontId="0" fillId="0" borderId="0" xfId="0" applyNumberFormat="1"/>
    <xf numFmtId="0" fontId="0" fillId="0" borderId="0" xfId="0" applyAlignment="1">
      <alignment horizontal="center"/>
    </xf>
    <xf numFmtId="165" fontId="2" fillId="0" borderId="0" xfId="0" applyNumberFormat="1" applyFont="1"/>
    <xf numFmtId="2" fontId="2" fillId="0" borderId="0" xfId="0" applyNumberFormat="1" applyFont="1"/>
    <xf numFmtId="164" fontId="0" fillId="0" borderId="0" xfId="0" applyNumberFormat="1" applyAlignment="1">
      <alignment vertical="center" wrapText="1"/>
    </xf>
    <xf numFmtId="0" fontId="2" fillId="0" borderId="0" xfId="0" applyFont="1" applyAlignment="1">
      <alignment vertical="center" wrapText="1"/>
    </xf>
    <xf numFmtId="164" fontId="0" fillId="0" borderId="0" xfId="0" applyNumberFormat="1" applyAlignment="1">
      <alignment horizontal="left"/>
    </xf>
    <xf numFmtId="0" fontId="5" fillId="0" borderId="6" xfId="0" applyFont="1" applyBorder="1" applyAlignment="1">
      <alignment horizontal="center" vertical="center" wrapText="1"/>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0" fillId="0" borderId="0" xfId="0"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microsoft.com/office/2011/relationships/chartStyle" Target="style15.xml"/><Relationship Id="rId2" Type="http://schemas.microsoft.com/office/2011/relationships/chartColorStyle" Target="colors15.xml"/><Relationship Id="rId1" Type="http://schemas.openxmlformats.org/officeDocument/2006/relationships/themeOverride" Target="../theme/themeOverride2.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microsoft.com/office/2011/relationships/chartStyle" Target="style18.xml"/><Relationship Id="rId2" Type="http://schemas.microsoft.com/office/2011/relationships/chartColorStyle" Target="colors18.xml"/><Relationship Id="rId1" Type="http://schemas.openxmlformats.org/officeDocument/2006/relationships/themeOverride" Target="../theme/themeOverride3.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microsoft.com/office/2011/relationships/chartStyle" Target="style21.xml"/><Relationship Id="rId2" Type="http://schemas.microsoft.com/office/2011/relationships/chartColorStyle" Target="colors21.xml"/><Relationship Id="rId1" Type="http://schemas.openxmlformats.org/officeDocument/2006/relationships/themeOverride" Target="../theme/themeOverride4.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microsoft.com/office/2011/relationships/chartStyle" Target="style24.xml"/><Relationship Id="rId2" Type="http://schemas.microsoft.com/office/2011/relationships/chartColorStyle" Target="colors24.xml"/><Relationship Id="rId1" Type="http://schemas.openxmlformats.org/officeDocument/2006/relationships/themeOverride" Target="../theme/themeOverride5.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microsoft.com/office/2011/relationships/chartStyle" Target="style27.xml"/><Relationship Id="rId2" Type="http://schemas.microsoft.com/office/2011/relationships/chartColorStyle" Target="colors27.xml"/><Relationship Id="rId1" Type="http://schemas.openxmlformats.org/officeDocument/2006/relationships/themeOverride" Target="../theme/themeOverride6.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microsoft.com/office/2011/relationships/chartStyle" Target="style3.xml"/><Relationship Id="rId2" Type="http://schemas.microsoft.com/office/2011/relationships/chartColorStyle" Target="colors3.xml"/><Relationship Id="rId1" Type="http://schemas.openxmlformats.org/officeDocument/2006/relationships/themeOverride" Target="../theme/themeOverride1.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6412056730690563"/>
          <c:y val="7.7892325315005728E-2"/>
          <c:w val="0.79591575186931052"/>
          <c:h val="0.68992180101198697"/>
        </c:manualLayout>
      </c:layout>
      <c:barChart>
        <c:barDir val="col"/>
        <c:grouping val="clustered"/>
        <c:varyColors val="0"/>
        <c:ser>
          <c:idx val="0"/>
          <c:order val="0"/>
          <c:tx>
            <c:strRef>
              <c:f>'3 categories'!$B$7</c:f>
              <c:strCache>
                <c:ptCount val="1"/>
                <c:pt idx="0">
                  <c:v>Gosport</c:v>
                </c:pt>
              </c:strCache>
            </c:strRef>
          </c:tx>
          <c:spPr>
            <a:solidFill>
              <a:schemeClr val="accent3">
                <a:shade val="76000"/>
              </a:schemeClr>
            </a:solidFill>
            <a:ln>
              <a:solidFill>
                <a:schemeClr val="tx1"/>
              </a:solidFill>
            </a:ln>
            <a:effectLst/>
          </c:spPr>
          <c:invertIfNegative val="0"/>
          <c:cat>
            <c:strRef>
              <c:f>'3 categories'!$D$6:$F$6</c:f>
              <c:strCache>
                <c:ptCount val="3"/>
                <c:pt idx="0">
                  <c:v>Openings</c:v>
                </c:pt>
                <c:pt idx="1">
                  <c:v>Closings</c:v>
                </c:pt>
                <c:pt idx="2">
                  <c:v>Same</c:v>
                </c:pt>
              </c:strCache>
            </c:strRef>
          </c:cat>
          <c:val>
            <c:numRef>
              <c:f>'3 categories'!$D$7:$F$7</c:f>
              <c:numCache>
                <c:formatCode>General</c:formatCode>
                <c:ptCount val="3"/>
                <c:pt idx="0">
                  <c:v>21</c:v>
                </c:pt>
                <c:pt idx="1">
                  <c:v>119</c:v>
                </c:pt>
                <c:pt idx="2">
                  <c:v>35</c:v>
                </c:pt>
              </c:numCache>
            </c:numRef>
          </c:val>
          <c:extLst xmlns:c16r2="http://schemas.microsoft.com/office/drawing/2015/06/chart">
            <c:ext xmlns:c16="http://schemas.microsoft.com/office/drawing/2014/chart" uri="{C3380CC4-5D6E-409C-BE32-E72D297353CC}">
              <c16:uniqueId val="{00000000-4886-432F-B3B9-EF27C71A11B9}"/>
            </c:ext>
          </c:extLst>
        </c:ser>
        <c:ser>
          <c:idx val="1"/>
          <c:order val="1"/>
          <c:tx>
            <c:strRef>
              <c:f>'3 categories'!$B$8</c:f>
              <c:strCache>
                <c:ptCount val="1"/>
                <c:pt idx="0">
                  <c:v>Fareham</c:v>
                </c:pt>
              </c:strCache>
            </c:strRef>
          </c:tx>
          <c:spPr>
            <a:solidFill>
              <a:schemeClr val="accent3">
                <a:tint val="77000"/>
              </a:schemeClr>
            </a:solidFill>
            <a:ln>
              <a:solidFill>
                <a:schemeClr val="tx1"/>
              </a:solidFill>
            </a:ln>
            <a:effectLst/>
          </c:spPr>
          <c:invertIfNegative val="0"/>
          <c:cat>
            <c:strRef>
              <c:f>'3 categories'!$D$6:$F$6</c:f>
              <c:strCache>
                <c:ptCount val="3"/>
                <c:pt idx="0">
                  <c:v>Openings</c:v>
                </c:pt>
                <c:pt idx="1">
                  <c:v>Closings</c:v>
                </c:pt>
                <c:pt idx="2">
                  <c:v>Same</c:v>
                </c:pt>
              </c:strCache>
            </c:strRef>
          </c:cat>
          <c:val>
            <c:numRef>
              <c:f>'3 categories'!$D$8:$F$8</c:f>
              <c:numCache>
                <c:formatCode>General</c:formatCode>
                <c:ptCount val="3"/>
                <c:pt idx="0">
                  <c:v>21</c:v>
                </c:pt>
                <c:pt idx="1">
                  <c:v>23</c:v>
                </c:pt>
                <c:pt idx="2">
                  <c:v>36</c:v>
                </c:pt>
              </c:numCache>
            </c:numRef>
          </c:val>
          <c:extLst xmlns:c16r2="http://schemas.microsoft.com/office/drawing/2015/06/chart">
            <c:ext xmlns:c16="http://schemas.microsoft.com/office/drawing/2014/chart" uri="{C3380CC4-5D6E-409C-BE32-E72D297353CC}">
              <c16:uniqueId val="{00000001-4886-432F-B3B9-EF27C71A11B9}"/>
            </c:ext>
          </c:extLst>
        </c:ser>
        <c:dLbls>
          <c:showLegendKey val="0"/>
          <c:showVal val="0"/>
          <c:showCatName val="0"/>
          <c:showSerName val="0"/>
          <c:showPercent val="0"/>
          <c:showBubbleSize val="0"/>
        </c:dLbls>
        <c:gapWidth val="219"/>
        <c:overlap val="-27"/>
        <c:axId val="76441472"/>
        <c:axId val="76443008"/>
      </c:barChart>
      <c:catAx>
        <c:axId val="7644147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6443008"/>
        <c:crosses val="autoZero"/>
        <c:auto val="1"/>
        <c:lblAlgn val="ctr"/>
        <c:lblOffset val="100"/>
        <c:noMultiLvlLbl val="0"/>
      </c:catAx>
      <c:valAx>
        <c:axId val="76443008"/>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Frequency</a:t>
                </a:r>
              </a:p>
            </c:rich>
          </c:tx>
          <c:layout/>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64414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6412056730690563"/>
          <c:y val="7.7892325315005728E-2"/>
          <c:w val="0.79591575186931052"/>
          <c:h val="0.64868468760992504"/>
        </c:manualLayout>
      </c:layout>
      <c:barChart>
        <c:barDir val="col"/>
        <c:grouping val="clustered"/>
        <c:varyColors val="0"/>
        <c:ser>
          <c:idx val="0"/>
          <c:order val="0"/>
          <c:tx>
            <c:strRef>
              <c:f>'6 categories with explanation'!$B$7</c:f>
              <c:strCache>
                <c:ptCount val="1"/>
                <c:pt idx="0">
                  <c:v>Fareham</c:v>
                </c:pt>
              </c:strCache>
            </c:strRef>
          </c:tx>
          <c:spPr>
            <a:solidFill>
              <a:schemeClr val="accent3">
                <a:shade val="76000"/>
              </a:schemeClr>
            </a:solidFill>
            <a:ln>
              <a:solidFill>
                <a:schemeClr val="tx1"/>
              </a:solidFill>
            </a:ln>
            <a:effectLst/>
          </c:spPr>
          <c:invertIfNegative val="0"/>
          <c:cat>
            <c:strRef>
              <c:f>'6 categories with explanation'!$D$6:$I$6</c:f>
              <c:strCache>
                <c:ptCount val="6"/>
                <c:pt idx="0">
                  <c:v>Very Angular</c:v>
                </c:pt>
                <c:pt idx="1">
                  <c:v>Angular</c:v>
                </c:pt>
                <c:pt idx="2">
                  <c:v>Sub-angular</c:v>
                </c:pt>
                <c:pt idx="3">
                  <c:v>Sub-rounded</c:v>
                </c:pt>
                <c:pt idx="4">
                  <c:v>Rounded</c:v>
                </c:pt>
                <c:pt idx="5">
                  <c:v>Well-rounded</c:v>
                </c:pt>
              </c:strCache>
            </c:strRef>
          </c:cat>
          <c:val>
            <c:numRef>
              <c:f>'6 categories with explanation'!$D$7:$I$7</c:f>
              <c:numCache>
                <c:formatCode>General</c:formatCode>
                <c:ptCount val="6"/>
                <c:pt idx="0">
                  <c:v>14</c:v>
                </c:pt>
                <c:pt idx="1">
                  <c:v>15</c:v>
                </c:pt>
                <c:pt idx="2">
                  <c:v>6</c:v>
                </c:pt>
                <c:pt idx="3">
                  <c:v>3</c:v>
                </c:pt>
                <c:pt idx="4">
                  <c:v>2</c:v>
                </c:pt>
                <c:pt idx="5">
                  <c:v>1</c:v>
                </c:pt>
              </c:numCache>
            </c:numRef>
          </c:val>
          <c:extLst xmlns:c16r2="http://schemas.microsoft.com/office/drawing/2015/06/chart">
            <c:ext xmlns:c16="http://schemas.microsoft.com/office/drawing/2014/chart" uri="{C3380CC4-5D6E-409C-BE32-E72D297353CC}">
              <c16:uniqueId val="{00000000-C82A-46E5-8A51-834BB7271754}"/>
            </c:ext>
          </c:extLst>
        </c:ser>
        <c:ser>
          <c:idx val="1"/>
          <c:order val="1"/>
          <c:tx>
            <c:strRef>
              <c:f>'6 categories with explanation'!$B$8</c:f>
              <c:strCache>
                <c:ptCount val="1"/>
                <c:pt idx="0">
                  <c:v>Gosport</c:v>
                </c:pt>
              </c:strCache>
            </c:strRef>
          </c:tx>
          <c:spPr>
            <a:solidFill>
              <a:schemeClr val="accent3">
                <a:tint val="77000"/>
              </a:schemeClr>
            </a:solidFill>
            <a:ln>
              <a:solidFill>
                <a:schemeClr val="tx1"/>
              </a:solidFill>
            </a:ln>
            <a:effectLst/>
          </c:spPr>
          <c:invertIfNegative val="0"/>
          <c:cat>
            <c:strRef>
              <c:f>'6 categories with explanation'!$D$6:$I$6</c:f>
              <c:strCache>
                <c:ptCount val="6"/>
                <c:pt idx="0">
                  <c:v>Very Angular</c:v>
                </c:pt>
                <c:pt idx="1">
                  <c:v>Angular</c:v>
                </c:pt>
                <c:pt idx="2">
                  <c:v>Sub-angular</c:v>
                </c:pt>
                <c:pt idx="3">
                  <c:v>Sub-rounded</c:v>
                </c:pt>
                <c:pt idx="4">
                  <c:v>Rounded</c:v>
                </c:pt>
                <c:pt idx="5">
                  <c:v>Well-rounded</c:v>
                </c:pt>
              </c:strCache>
            </c:strRef>
          </c:cat>
          <c:val>
            <c:numRef>
              <c:f>'6 categories with explanation'!$D$8:$I$8</c:f>
              <c:numCache>
                <c:formatCode>General</c:formatCode>
                <c:ptCount val="6"/>
                <c:pt idx="0">
                  <c:v>4</c:v>
                </c:pt>
                <c:pt idx="1">
                  <c:v>5</c:v>
                </c:pt>
                <c:pt idx="2">
                  <c:v>8</c:v>
                </c:pt>
                <c:pt idx="3">
                  <c:v>5</c:v>
                </c:pt>
                <c:pt idx="4">
                  <c:v>14</c:v>
                </c:pt>
                <c:pt idx="5">
                  <c:v>10</c:v>
                </c:pt>
              </c:numCache>
            </c:numRef>
          </c:val>
          <c:extLst xmlns:c16r2="http://schemas.microsoft.com/office/drawing/2015/06/chart">
            <c:ext xmlns:c16="http://schemas.microsoft.com/office/drawing/2014/chart" uri="{C3380CC4-5D6E-409C-BE32-E72D297353CC}">
              <c16:uniqueId val="{00000001-C82A-46E5-8A51-834BB7271754}"/>
            </c:ext>
          </c:extLst>
        </c:ser>
        <c:dLbls>
          <c:showLegendKey val="0"/>
          <c:showVal val="0"/>
          <c:showCatName val="0"/>
          <c:showSerName val="0"/>
          <c:showPercent val="0"/>
          <c:showBubbleSize val="0"/>
        </c:dLbls>
        <c:gapWidth val="219"/>
        <c:overlap val="-27"/>
        <c:axId val="107979136"/>
        <c:axId val="107980672"/>
      </c:barChart>
      <c:catAx>
        <c:axId val="10797913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7980672"/>
        <c:crosses val="autoZero"/>
        <c:auto val="1"/>
        <c:lblAlgn val="ctr"/>
        <c:lblOffset val="100"/>
        <c:noMultiLvlLbl val="0"/>
      </c:catAx>
      <c:valAx>
        <c:axId val="107980672"/>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Frequency</a:t>
                </a:r>
              </a:p>
            </c:rich>
          </c:tx>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7979136"/>
        <c:crosses val="autoZero"/>
        <c:crossBetween val="between"/>
      </c:valAx>
      <c:spPr>
        <a:noFill/>
        <a:ln>
          <a:noFill/>
        </a:ln>
        <a:effectLst/>
      </c:spPr>
    </c:plotArea>
    <c:legend>
      <c:legendPos val="b"/>
      <c:layout>
        <c:manualLayout>
          <c:xMode val="edge"/>
          <c:yMode val="edge"/>
          <c:x val="0.75766733396764119"/>
          <c:y val="3.3790982312777912E-2"/>
          <c:w val="0.21854383446511313"/>
          <c:h val="0.205613370493636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508001016002"/>
          <c:y val="9.0548904607798478E-2"/>
          <c:w val="0.7905226766009088"/>
          <c:h val="0.55325630259590164"/>
        </c:manualLayout>
      </c:layout>
      <c:lineChart>
        <c:grouping val="standard"/>
        <c:varyColors val="0"/>
        <c:ser>
          <c:idx val="0"/>
          <c:order val="0"/>
          <c:tx>
            <c:strRef>
              <c:f>'6 categories with explanation'!$W$13</c:f>
              <c:strCache>
                <c:ptCount val="1"/>
                <c:pt idx="0">
                  <c:v>Fareham</c:v>
                </c:pt>
              </c:strCache>
            </c:strRef>
          </c:tx>
          <c:spPr>
            <a:ln w="28575" cap="rnd">
              <a:solidFill>
                <a:schemeClr val="tx1"/>
              </a:solidFill>
              <a:round/>
            </a:ln>
            <a:effectLst/>
          </c:spPr>
          <c:marker>
            <c:symbol val="none"/>
          </c:marker>
          <c:cat>
            <c:strRef>
              <c:f>'6 categories with explanation'!$X$6:$AC$6</c:f>
              <c:strCache>
                <c:ptCount val="6"/>
                <c:pt idx="0">
                  <c:v>Very Angular</c:v>
                </c:pt>
                <c:pt idx="1">
                  <c:v>Angular</c:v>
                </c:pt>
                <c:pt idx="2">
                  <c:v>Sub-angular</c:v>
                </c:pt>
                <c:pt idx="3">
                  <c:v>Sub-rounded</c:v>
                </c:pt>
                <c:pt idx="4">
                  <c:v>Rounded</c:v>
                </c:pt>
                <c:pt idx="5">
                  <c:v>Well-rounded</c:v>
                </c:pt>
              </c:strCache>
            </c:strRef>
          </c:cat>
          <c:val>
            <c:numRef>
              <c:f>'6 categories with explanation'!$X$13:$AC$13</c:f>
              <c:numCache>
                <c:formatCode>0.00</c:formatCode>
                <c:ptCount val="6"/>
                <c:pt idx="0">
                  <c:v>0.34146341463414637</c:v>
                </c:pt>
                <c:pt idx="1">
                  <c:v>0.70731707317073167</c:v>
                </c:pt>
                <c:pt idx="2">
                  <c:v>0.85365853658536583</c:v>
                </c:pt>
                <c:pt idx="3">
                  <c:v>0.92682926829268297</c:v>
                </c:pt>
                <c:pt idx="4">
                  <c:v>0.97560975609756095</c:v>
                </c:pt>
                <c:pt idx="5" formatCode="General">
                  <c:v>1</c:v>
                </c:pt>
              </c:numCache>
            </c:numRef>
          </c:val>
          <c:smooth val="0"/>
          <c:extLst xmlns:c16r2="http://schemas.microsoft.com/office/drawing/2015/06/chart">
            <c:ext xmlns:c16="http://schemas.microsoft.com/office/drawing/2014/chart" uri="{C3380CC4-5D6E-409C-BE32-E72D297353CC}">
              <c16:uniqueId val="{00000000-61DA-4950-B844-DACA29B29396}"/>
            </c:ext>
          </c:extLst>
        </c:ser>
        <c:ser>
          <c:idx val="1"/>
          <c:order val="1"/>
          <c:tx>
            <c:strRef>
              <c:f>'6 categories with explanation'!$W$14</c:f>
              <c:strCache>
                <c:ptCount val="1"/>
                <c:pt idx="0">
                  <c:v>Gosport</c:v>
                </c:pt>
              </c:strCache>
            </c:strRef>
          </c:tx>
          <c:spPr>
            <a:ln w="28575" cap="rnd">
              <a:solidFill>
                <a:schemeClr val="tx1"/>
              </a:solidFill>
              <a:prstDash val="sysDash"/>
              <a:round/>
            </a:ln>
            <a:effectLst/>
          </c:spPr>
          <c:marker>
            <c:symbol val="none"/>
          </c:marker>
          <c:cat>
            <c:strRef>
              <c:f>'6 categories with explanation'!$X$6:$AC$6</c:f>
              <c:strCache>
                <c:ptCount val="6"/>
                <c:pt idx="0">
                  <c:v>Very Angular</c:v>
                </c:pt>
                <c:pt idx="1">
                  <c:v>Angular</c:v>
                </c:pt>
                <c:pt idx="2">
                  <c:v>Sub-angular</c:v>
                </c:pt>
                <c:pt idx="3">
                  <c:v>Sub-rounded</c:v>
                </c:pt>
                <c:pt idx="4">
                  <c:v>Rounded</c:v>
                </c:pt>
                <c:pt idx="5">
                  <c:v>Well-rounded</c:v>
                </c:pt>
              </c:strCache>
            </c:strRef>
          </c:cat>
          <c:val>
            <c:numRef>
              <c:f>'6 categories with explanation'!$X$14:$AC$14</c:f>
              <c:numCache>
                <c:formatCode>0.00</c:formatCode>
                <c:ptCount val="6"/>
                <c:pt idx="0">
                  <c:v>8.6956521739130432E-2</c:v>
                </c:pt>
                <c:pt idx="1">
                  <c:v>0.19565217391304349</c:v>
                </c:pt>
                <c:pt idx="2">
                  <c:v>0.36956521739130432</c:v>
                </c:pt>
                <c:pt idx="3">
                  <c:v>0.47826086956521741</c:v>
                </c:pt>
                <c:pt idx="4">
                  <c:v>0.78260869565217395</c:v>
                </c:pt>
                <c:pt idx="5" formatCode="General">
                  <c:v>1</c:v>
                </c:pt>
              </c:numCache>
            </c:numRef>
          </c:val>
          <c:smooth val="0"/>
          <c:extLst xmlns:c16r2="http://schemas.microsoft.com/office/drawing/2015/06/chart">
            <c:ext xmlns:c16="http://schemas.microsoft.com/office/drawing/2014/chart" uri="{C3380CC4-5D6E-409C-BE32-E72D297353CC}">
              <c16:uniqueId val="{00000001-61DA-4950-B844-DACA29B29396}"/>
            </c:ext>
          </c:extLst>
        </c:ser>
        <c:dLbls>
          <c:showLegendKey val="0"/>
          <c:showVal val="0"/>
          <c:showCatName val="0"/>
          <c:showSerName val="0"/>
          <c:showPercent val="0"/>
          <c:showBubbleSize val="0"/>
        </c:dLbls>
        <c:marker val="1"/>
        <c:smooth val="0"/>
        <c:axId val="108535168"/>
        <c:axId val="108541056"/>
      </c:lineChart>
      <c:catAx>
        <c:axId val="10853516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541056"/>
        <c:crosses val="autoZero"/>
        <c:auto val="1"/>
        <c:lblAlgn val="ctr"/>
        <c:lblOffset val="100"/>
        <c:noMultiLvlLbl val="0"/>
      </c:catAx>
      <c:valAx>
        <c:axId val="108541056"/>
        <c:scaling>
          <c:orientation val="minMax"/>
          <c:max val="1"/>
          <c:min val="0"/>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Cumulative proportion</a:t>
                </a:r>
              </a:p>
            </c:rich>
          </c:tx>
          <c:overlay val="0"/>
          <c:spPr>
            <a:noFill/>
            <a:ln>
              <a:noFill/>
            </a:ln>
            <a:effectLst/>
          </c:spPr>
        </c:title>
        <c:numFmt formatCode="0.0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535168"/>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6412056730690563"/>
          <c:y val="7.7892325315005728E-2"/>
          <c:w val="0.79591575186931052"/>
          <c:h val="0.64868468760992504"/>
        </c:manualLayout>
      </c:layout>
      <c:barChart>
        <c:barDir val="col"/>
        <c:grouping val="clustered"/>
        <c:varyColors val="0"/>
        <c:ser>
          <c:idx val="0"/>
          <c:order val="0"/>
          <c:tx>
            <c:strRef>
              <c:f>'6 categories with explanation'!$B$7</c:f>
              <c:strCache>
                <c:ptCount val="1"/>
                <c:pt idx="0">
                  <c:v>Fareham</c:v>
                </c:pt>
              </c:strCache>
            </c:strRef>
          </c:tx>
          <c:spPr>
            <a:solidFill>
              <a:schemeClr val="accent3">
                <a:shade val="76000"/>
              </a:schemeClr>
            </a:solidFill>
            <a:ln>
              <a:solidFill>
                <a:schemeClr val="tx1"/>
              </a:solidFill>
            </a:ln>
            <a:effectLst/>
          </c:spPr>
          <c:invertIfNegative val="0"/>
          <c:cat>
            <c:strRef>
              <c:f>'6 categories with explanation'!$P$6:$U$6</c:f>
              <c:strCache>
                <c:ptCount val="6"/>
                <c:pt idx="0">
                  <c:v>Very Angular</c:v>
                </c:pt>
                <c:pt idx="1">
                  <c:v>Angular</c:v>
                </c:pt>
                <c:pt idx="2">
                  <c:v>Sub-angular</c:v>
                </c:pt>
                <c:pt idx="3">
                  <c:v>Sub-rounded</c:v>
                </c:pt>
                <c:pt idx="4">
                  <c:v>Rounded</c:v>
                </c:pt>
                <c:pt idx="5">
                  <c:v>Well-rounded</c:v>
                </c:pt>
              </c:strCache>
            </c:strRef>
          </c:cat>
          <c:val>
            <c:numRef>
              <c:f>'6 categories with explanation'!$P$7:$U$7</c:f>
              <c:numCache>
                <c:formatCode>0.00</c:formatCode>
                <c:ptCount val="6"/>
                <c:pt idx="0">
                  <c:v>34.146341463414636</c:v>
                </c:pt>
                <c:pt idx="1">
                  <c:v>36.585365853658537</c:v>
                </c:pt>
                <c:pt idx="2">
                  <c:v>14.634146341463413</c:v>
                </c:pt>
                <c:pt idx="3">
                  <c:v>7.3170731707317067</c:v>
                </c:pt>
                <c:pt idx="4">
                  <c:v>4.8780487804878048</c:v>
                </c:pt>
                <c:pt idx="5">
                  <c:v>2.4390243902439024</c:v>
                </c:pt>
              </c:numCache>
            </c:numRef>
          </c:val>
          <c:extLst xmlns:c16r2="http://schemas.microsoft.com/office/drawing/2015/06/chart">
            <c:ext xmlns:c16="http://schemas.microsoft.com/office/drawing/2014/chart" uri="{C3380CC4-5D6E-409C-BE32-E72D297353CC}">
              <c16:uniqueId val="{00000000-24AD-458B-94A7-73F513A02165}"/>
            </c:ext>
          </c:extLst>
        </c:ser>
        <c:ser>
          <c:idx val="1"/>
          <c:order val="1"/>
          <c:tx>
            <c:strRef>
              <c:f>'6 categories with explanation'!$B$8</c:f>
              <c:strCache>
                <c:ptCount val="1"/>
                <c:pt idx="0">
                  <c:v>Gosport</c:v>
                </c:pt>
              </c:strCache>
            </c:strRef>
          </c:tx>
          <c:spPr>
            <a:solidFill>
              <a:schemeClr val="accent3">
                <a:tint val="77000"/>
              </a:schemeClr>
            </a:solidFill>
            <a:ln>
              <a:solidFill>
                <a:schemeClr val="tx1"/>
              </a:solidFill>
            </a:ln>
            <a:effectLst/>
          </c:spPr>
          <c:invertIfNegative val="0"/>
          <c:cat>
            <c:strRef>
              <c:f>'6 categories with explanation'!$P$6:$U$6</c:f>
              <c:strCache>
                <c:ptCount val="6"/>
                <c:pt idx="0">
                  <c:v>Very Angular</c:v>
                </c:pt>
                <c:pt idx="1">
                  <c:v>Angular</c:v>
                </c:pt>
                <c:pt idx="2">
                  <c:v>Sub-angular</c:v>
                </c:pt>
                <c:pt idx="3">
                  <c:v>Sub-rounded</c:v>
                </c:pt>
                <c:pt idx="4">
                  <c:v>Rounded</c:v>
                </c:pt>
                <c:pt idx="5">
                  <c:v>Well-rounded</c:v>
                </c:pt>
              </c:strCache>
            </c:strRef>
          </c:cat>
          <c:val>
            <c:numRef>
              <c:f>'6 categories with explanation'!$P$8:$U$8</c:f>
              <c:numCache>
                <c:formatCode>0.00</c:formatCode>
                <c:ptCount val="6"/>
                <c:pt idx="0">
                  <c:v>8.695652173913043</c:v>
                </c:pt>
                <c:pt idx="1">
                  <c:v>10.869565217391305</c:v>
                </c:pt>
                <c:pt idx="2">
                  <c:v>17.391304347826086</c:v>
                </c:pt>
                <c:pt idx="3">
                  <c:v>10.869565217391305</c:v>
                </c:pt>
                <c:pt idx="4">
                  <c:v>30.434782608695656</c:v>
                </c:pt>
                <c:pt idx="5">
                  <c:v>21.739130434782609</c:v>
                </c:pt>
              </c:numCache>
            </c:numRef>
          </c:val>
          <c:extLst xmlns:c16r2="http://schemas.microsoft.com/office/drawing/2015/06/chart">
            <c:ext xmlns:c16="http://schemas.microsoft.com/office/drawing/2014/chart" uri="{C3380CC4-5D6E-409C-BE32-E72D297353CC}">
              <c16:uniqueId val="{00000001-24AD-458B-94A7-73F513A02165}"/>
            </c:ext>
          </c:extLst>
        </c:ser>
        <c:dLbls>
          <c:showLegendKey val="0"/>
          <c:showVal val="0"/>
          <c:showCatName val="0"/>
          <c:showSerName val="0"/>
          <c:showPercent val="0"/>
          <c:showBubbleSize val="0"/>
        </c:dLbls>
        <c:gapWidth val="219"/>
        <c:overlap val="-27"/>
        <c:axId val="108583936"/>
        <c:axId val="108589824"/>
      </c:barChart>
      <c:catAx>
        <c:axId val="10858393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589824"/>
        <c:crosses val="autoZero"/>
        <c:auto val="1"/>
        <c:lblAlgn val="ctr"/>
        <c:lblOffset val="100"/>
        <c:noMultiLvlLbl val="0"/>
      </c:catAx>
      <c:valAx>
        <c:axId val="108589824"/>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Percentage</a:t>
                </a:r>
              </a:p>
            </c:rich>
          </c:tx>
          <c:overlay val="0"/>
          <c:spPr>
            <a:noFill/>
            <a:ln>
              <a:noFill/>
            </a:ln>
            <a:effectLst/>
          </c:sp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583936"/>
        <c:crosses val="autoZero"/>
        <c:crossBetween val="between"/>
      </c:valAx>
      <c:spPr>
        <a:noFill/>
        <a:ln>
          <a:noFill/>
        </a:ln>
        <a:effectLst/>
      </c:spPr>
    </c:plotArea>
    <c:legend>
      <c:legendPos val="b"/>
      <c:layout>
        <c:manualLayout>
          <c:xMode val="edge"/>
          <c:yMode val="edge"/>
          <c:x val="0.75403427207456986"/>
          <c:y val="2.920908082365993E-2"/>
          <c:w val="0.21854383446511313"/>
          <c:h val="0.205613370493636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7501975298611941"/>
          <c:y val="7.7892325315005728E-2"/>
          <c:w val="0.79591575186931052"/>
          <c:h val="0.56162855931668343"/>
        </c:manualLayout>
      </c:layout>
      <c:barChart>
        <c:barDir val="col"/>
        <c:grouping val="clustered"/>
        <c:varyColors val="0"/>
        <c:ser>
          <c:idx val="0"/>
          <c:order val="0"/>
          <c:tx>
            <c:strRef>
              <c:f>'7 categories'!$B$7</c:f>
              <c:strCache>
                <c:ptCount val="1"/>
                <c:pt idx="0">
                  <c:v>Male</c:v>
                </c:pt>
              </c:strCache>
            </c:strRef>
          </c:tx>
          <c:spPr>
            <a:solidFill>
              <a:schemeClr val="accent3">
                <a:shade val="76000"/>
              </a:schemeClr>
            </a:solidFill>
            <a:ln>
              <a:solidFill>
                <a:schemeClr val="tx1"/>
              </a:solidFill>
            </a:ln>
            <a:effectLst/>
          </c:spPr>
          <c:invertIfNegative val="0"/>
          <c:cat>
            <c:strRef>
              <c:f>'7 categories'!$D$6:$J$6</c:f>
              <c:strCache>
                <c:ptCount val="7"/>
                <c:pt idx="0">
                  <c:v>VSA</c:v>
                </c:pt>
                <c:pt idx="1">
                  <c:v>SA</c:v>
                </c:pt>
                <c:pt idx="2">
                  <c:v>A</c:v>
                </c:pt>
                <c:pt idx="3">
                  <c:v>N</c:v>
                </c:pt>
                <c:pt idx="4">
                  <c:v>D</c:v>
                </c:pt>
                <c:pt idx="5">
                  <c:v>SD</c:v>
                </c:pt>
                <c:pt idx="6">
                  <c:v>VSD</c:v>
                </c:pt>
              </c:strCache>
            </c:strRef>
          </c:cat>
          <c:val>
            <c:numRef>
              <c:f>'7 categories'!$D$7:$J$7</c:f>
              <c:numCache>
                <c:formatCode>General</c:formatCode>
                <c:ptCount val="7"/>
                <c:pt idx="0">
                  <c:v>3</c:v>
                </c:pt>
                <c:pt idx="1">
                  <c:v>13</c:v>
                </c:pt>
                <c:pt idx="2">
                  <c:v>12</c:v>
                </c:pt>
                <c:pt idx="3">
                  <c:v>28</c:v>
                </c:pt>
                <c:pt idx="4">
                  <c:v>15</c:v>
                </c:pt>
                <c:pt idx="5">
                  <c:v>8</c:v>
                </c:pt>
                <c:pt idx="6">
                  <c:v>2</c:v>
                </c:pt>
              </c:numCache>
            </c:numRef>
          </c:val>
          <c:extLst xmlns:c16r2="http://schemas.microsoft.com/office/drawing/2015/06/chart">
            <c:ext xmlns:c16="http://schemas.microsoft.com/office/drawing/2014/chart" uri="{C3380CC4-5D6E-409C-BE32-E72D297353CC}">
              <c16:uniqueId val="{00000000-F1C3-4EFE-B804-C16CFE9422F7}"/>
            </c:ext>
          </c:extLst>
        </c:ser>
        <c:ser>
          <c:idx val="1"/>
          <c:order val="1"/>
          <c:tx>
            <c:strRef>
              <c:f>'7 categories'!$B$8</c:f>
              <c:strCache>
                <c:ptCount val="1"/>
                <c:pt idx="0">
                  <c:v>Female</c:v>
                </c:pt>
              </c:strCache>
            </c:strRef>
          </c:tx>
          <c:spPr>
            <a:solidFill>
              <a:schemeClr val="accent3">
                <a:tint val="77000"/>
              </a:schemeClr>
            </a:solidFill>
            <a:ln>
              <a:solidFill>
                <a:schemeClr val="tx1"/>
              </a:solidFill>
            </a:ln>
            <a:effectLst/>
          </c:spPr>
          <c:invertIfNegative val="0"/>
          <c:cat>
            <c:strRef>
              <c:f>'7 categories'!$D$6:$J$6</c:f>
              <c:strCache>
                <c:ptCount val="7"/>
                <c:pt idx="0">
                  <c:v>VSA</c:v>
                </c:pt>
                <c:pt idx="1">
                  <c:v>SA</c:v>
                </c:pt>
                <c:pt idx="2">
                  <c:v>A</c:v>
                </c:pt>
                <c:pt idx="3">
                  <c:v>N</c:v>
                </c:pt>
                <c:pt idx="4">
                  <c:v>D</c:v>
                </c:pt>
                <c:pt idx="5">
                  <c:v>SD</c:v>
                </c:pt>
                <c:pt idx="6">
                  <c:v>VSD</c:v>
                </c:pt>
              </c:strCache>
            </c:strRef>
          </c:cat>
          <c:val>
            <c:numRef>
              <c:f>'7 categories'!$D$8:$J$8</c:f>
              <c:numCache>
                <c:formatCode>General</c:formatCode>
                <c:ptCount val="7"/>
                <c:pt idx="0">
                  <c:v>2</c:v>
                </c:pt>
                <c:pt idx="1">
                  <c:v>12</c:v>
                </c:pt>
                <c:pt idx="2">
                  <c:v>12</c:v>
                </c:pt>
                <c:pt idx="3">
                  <c:v>27</c:v>
                </c:pt>
                <c:pt idx="4">
                  <c:v>14</c:v>
                </c:pt>
                <c:pt idx="5">
                  <c:v>7</c:v>
                </c:pt>
                <c:pt idx="6">
                  <c:v>8</c:v>
                </c:pt>
              </c:numCache>
            </c:numRef>
          </c:val>
          <c:extLst xmlns:c16r2="http://schemas.microsoft.com/office/drawing/2015/06/chart">
            <c:ext xmlns:c16="http://schemas.microsoft.com/office/drawing/2014/chart" uri="{C3380CC4-5D6E-409C-BE32-E72D297353CC}">
              <c16:uniqueId val="{00000001-F1C3-4EFE-B804-C16CFE9422F7}"/>
            </c:ext>
          </c:extLst>
        </c:ser>
        <c:dLbls>
          <c:showLegendKey val="0"/>
          <c:showVal val="0"/>
          <c:showCatName val="0"/>
          <c:showSerName val="0"/>
          <c:showPercent val="0"/>
          <c:showBubbleSize val="0"/>
        </c:dLbls>
        <c:gapWidth val="219"/>
        <c:overlap val="-27"/>
        <c:axId val="108490112"/>
        <c:axId val="108500096"/>
      </c:barChart>
      <c:catAx>
        <c:axId val="10849011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500096"/>
        <c:crosses val="autoZero"/>
        <c:auto val="1"/>
        <c:lblAlgn val="ctr"/>
        <c:lblOffset val="100"/>
        <c:noMultiLvlLbl val="0"/>
      </c:catAx>
      <c:valAx>
        <c:axId val="108500096"/>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Frequency</a:t>
                </a:r>
              </a:p>
            </c:rich>
          </c:tx>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490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508001016002"/>
          <c:y val="9.0548904607798478E-2"/>
          <c:w val="0.7905226766009088"/>
          <c:h val="0.55325630259590164"/>
        </c:manualLayout>
      </c:layout>
      <c:lineChart>
        <c:grouping val="standard"/>
        <c:varyColors val="0"/>
        <c:ser>
          <c:idx val="0"/>
          <c:order val="0"/>
          <c:tx>
            <c:strRef>
              <c:f>'7 categories'!$Z$13</c:f>
              <c:strCache>
                <c:ptCount val="1"/>
                <c:pt idx="0">
                  <c:v>Male</c:v>
                </c:pt>
              </c:strCache>
            </c:strRef>
          </c:tx>
          <c:spPr>
            <a:ln w="28575" cap="rnd">
              <a:solidFill>
                <a:schemeClr val="tx1"/>
              </a:solidFill>
              <a:round/>
            </a:ln>
            <a:effectLst/>
          </c:spPr>
          <c:marker>
            <c:symbol val="none"/>
          </c:marker>
          <c:cat>
            <c:strRef>
              <c:f>'7 categories'!$AA$6:$AG$6</c:f>
              <c:strCache>
                <c:ptCount val="7"/>
                <c:pt idx="0">
                  <c:v>VSA</c:v>
                </c:pt>
                <c:pt idx="1">
                  <c:v>SA</c:v>
                </c:pt>
                <c:pt idx="2">
                  <c:v>A</c:v>
                </c:pt>
                <c:pt idx="3">
                  <c:v>N</c:v>
                </c:pt>
                <c:pt idx="4">
                  <c:v>D</c:v>
                </c:pt>
                <c:pt idx="5">
                  <c:v>SD</c:v>
                </c:pt>
                <c:pt idx="6">
                  <c:v>VSD</c:v>
                </c:pt>
              </c:strCache>
            </c:strRef>
          </c:cat>
          <c:val>
            <c:numRef>
              <c:f>'7 categories'!$AA$13:$AG$13</c:f>
              <c:numCache>
                <c:formatCode>General</c:formatCode>
                <c:ptCount val="7"/>
                <c:pt idx="0">
                  <c:v>3.7037037037037035E-2</c:v>
                </c:pt>
                <c:pt idx="1">
                  <c:v>0.19753086419753085</c:v>
                </c:pt>
                <c:pt idx="2">
                  <c:v>0.34567901234567899</c:v>
                </c:pt>
                <c:pt idx="3">
                  <c:v>0.69135802469135799</c:v>
                </c:pt>
                <c:pt idx="4">
                  <c:v>0.87654320987654322</c:v>
                </c:pt>
                <c:pt idx="5">
                  <c:v>0.97530864197530864</c:v>
                </c:pt>
                <c:pt idx="6">
                  <c:v>1</c:v>
                </c:pt>
              </c:numCache>
            </c:numRef>
          </c:val>
          <c:smooth val="0"/>
          <c:extLst xmlns:c16r2="http://schemas.microsoft.com/office/drawing/2015/06/chart">
            <c:ext xmlns:c16="http://schemas.microsoft.com/office/drawing/2014/chart" uri="{C3380CC4-5D6E-409C-BE32-E72D297353CC}">
              <c16:uniqueId val="{00000000-26CF-42CB-93C3-D9A66DD579E6}"/>
            </c:ext>
          </c:extLst>
        </c:ser>
        <c:ser>
          <c:idx val="1"/>
          <c:order val="1"/>
          <c:tx>
            <c:strRef>
              <c:f>'7 categories'!$Z$14</c:f>
              <c:strCache>
                <c:ptCount val="1"/>
                <c:pt idx="0">
                  <c:v>Female</c:v>
                </c:pt>
              </c:strCache>
            </c:strRef>
          </c:tx>
          <c:spPr>
            <a:ln w="28575" cap="rnd">
              <a:solidFill>
                <a:schemeClr val="tx1"/>
              </a:solidFill>
              <a:prstDash val="sysDash"/>
              <a:round/>
            </a:ln>
            <a:effectLst/>
          </c:spPr>
          <c:marker>
            <c:symbol val="none"/>
          </c:marker>
          <c:cat>
            <c:strRef>
              <c:f>'7 categories'!$AA$6:$AG$6</c:f>
              <c:strCache>
                <c:ptCount val="7"/>
                <c:pt idx="0">
                  <c:v>VSA</c:v>
                </c:pt>
                <c:pt idx="1">
                  <c:v>SA</c:v>
                </c:pt>
                <c:pt idx="2">
                  <c:v>A</c:v>
                </c:pt>
                <c:pt idx="3">
                  <c:v>N</c:v>
                </c:pt>
                <c:pt idx="4">
                  <c:v>D</c:v>
                </c:pt>
                <c:pt idx="5">
                  <c:v>SD</c:v>
                </c:pt>
                <c:pt idx="6">
                  <c:v>VSD</c:v>
                </c:pt>
              </c:strCache>
            </c:strRef>
          </c:cat>
          <c:val>
            <c:numRef>
              <c:f>'7 categories'!$AA$14:$AG$14</c:f>
              <c:numCache>
                <c:formatCode>General</c:formatCode>
                <c:ptCount val="7"/>
                <c:pt idx="0">
                  <c:v>2.4390243902439025E-2</c:v>
                </c:pt>
                <c:pt idx="1">
                  <c:v>0.17073170731707318</c:v>
                </c:pt>
                <c:pt idx="2">
                  <c:v>0.31707317073170732</c:v>
                </c:pt>
                <c:pt idx="3">
                  <c:v>0.64634146341463417</c:v>
                </c:pt>
                <c:pt idx="4">
                  <c:v>0.81707317073170727</c:v>
                </c:pt>
                <c:pt idx="5">
                  <c:v>0.90243902439024393</c:v>
                </c:pt>
                <c:pt idx="6">
                  <c:v>1</c:v>
                </c:pt>
              </c:numCache>
            </c:numRef>
          </c:val>
          <c:smooth val="0"/>
          <c:extLst xmlns:c16r2="http://schemas.microsoft.com/office/drawing/2015/06/chart">
            <c:ext xmlns:c16="http://schemas.microsoft.com/office/drawing/2014/chart" uri="{C3380CC4-5D6E-409C-BE32-E72D297353CC}">
              <c16:uniqueId val="{00000001-26CF-42CB-93C3-D9A66DD579E6}"/>
            </c:ext>
          </c:extLst>
        </c:ser>
        <c:dLbls>
          <c:showLegendKey val="0"/>
          <c:showVal val="0"/>
          <c:showCatName val="0"/>
          <c:showSerName val="0"/>
          <c:showPercent val="0"/>
          <c:showBubbleSize val="0"/>
        </c:dLbls>
        <c:marker val="1"/>
        <c:smooth val="0"/>
        <c:axId val="108513920"/>
        <c:axId val="108863872"/>
      </c:lineChart>
      <c:catAx>
        <c:axId val="10851392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863872"/>
        <c:crosses val="autoZero"/>
        <c:auto val="1"/>
        <c:lblAlgn val="ctr"/>
        <c:lblOffset val="100"/>
        <c:noMultiLvlLbl val="0"/>
      </c:catAx>
      <c:valAx>
        <c:axId val="108863872"/>
        <c:scaling>
          <c:orientation val="minMax"/>
          <c:max val="1"/>
          <c:min val="0"/>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Cumulative proportion</a:t>
                </a:r>
              </a:p>
            </c:rich>
          </c:tx>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513920"/>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501975298611941"/>
          <c:y val="7.7892325315005728E-2"/>
          <c:w val="0.79591575186931052"/>
          <c:h val="0.56162855931668343"/>
        </c:manualLayout>
      </c:layout>
      <c:barChart>
        <c:barDir val="col"/>
        <c:grouping val="clustered"/>
        <c:varyColors val="0"/>
        <c:ser>
          <c:idx val="0"/>
          <c:order val="0"/>
          <c:tx>
            <c:strRef>
              <c:f>'7 categories'!$B$7</c:f>
              <c:strCache>
                <c:ptCount val="1"/>
                <c:pt idx="0">
                  <c:v>Male</c:v>
                </c:pt>
              </c:strCache>
            </c:strRef>
          </c:tx>
          <c:spPr>
            <a:solidFill>
              <a:schemeClr val="accent3">
                <a:shade val="76000"/>
              </a:schemeClr>
            </a:solidFill>
            <a:ln>
              <a:solidFill>
                <a:sysClr val="windowText" lastClr="000000"/>
              </a:solidFill>
            </a:ln>
            <a:effectLst/>
          </c:spPr>
          <c:invertIfNegative val="0"/>
          <c:cat>
            <c:strRef>
              <c:f>'7 categories'!$O$6:$U$6</c:f>
              <c:strCache>
                <c:ptCount val="7"/>
                <c:pt idx="0">
                  <c:v>VSA</c:v>
                </c:pt>
                <c:pt idx="1">
                  <c:v>SA</c:v>
                </c:pt>
                <c:pt idx="2">
                  <c:v>A</c:v>
                </c:pt>
                <c:pt idx="3">
                  <c:v>N</c:v>
                </c:pt>
                <c:pt idx="4">
                  <c:v>D</c:v>
                </c:pt>
                <c:pt idx="5">
                  <c:v>SD</c:v>
                </c:pt>
                <c:pt idx="6">
                  <c:v>VSD</c:v>
                </c:pt>
              </c:strCache>
            </c:strRef>
          </c:cat>
          <c:val>
            <c:numRef>
              <c:f>'7 categories'!$O$7:$U$7</c:f>
              <c:numCache>
                <c:formatCode>0.00</c:formatCode>
                <c:ptCount val="7"/>
                <c:pt idx="0">
                  <c:v>3.7037037037037033</c:v>
                </c:pt>
                <c:pt idx="1">
                  <c:v>16.049382716049383</c:v>
                </c:pt>
                <c:pt idx="2">
                  <c:v>14.814814814814813</c:v>
                </c:pt>
                <c:pt idx="3">
                  <c:v>34.567901234567898</c:v>
                </c:pt>
                <c:pt idx="4">
                  <c:v>18.518518518518519</c:v>
                </c:pt>
                <c:pt idx="5">
                  <c:v>9.8765432098765427</c:v>
                </c:pt>
                <c:pt idx="6">
                  <c:v>2.4691358024691357</c:v>
                </c:pt>
              </c:numCache>
            </c:numRef>
          </c:val>
          <c:extLst xmlns:c16r2="http://schemas.microsoft.com/office/drawing/2015/06/chart">
            <c:ext xmlns:c16="http://schemas.microsoft.com/office/drawing/2014/chart" uri="{C3380CC4-5D6E-409C-BE32-E72D297353CC}">
              <c16:uniqueId val="{00000000-F64A-46D9-B2B3-AA14F24F821F}"/>
            </c:ext>
          </c:extLst>
        </c:ser>
        <c:ser>
          <c:idx val="1"/>
          <c:order val="1"/>
          <c:tx>
            <c:strRef>
              <c:f>'7 categories'!$B$8</c:f>
              <c:strCache>
                <c:ptCount val="1"/>
                <c:pt idx="0">
                  <c:v>Female</c:v>
                </c:pt>
              </c:strCache>
            </c:strRef>
          </c:tx>
          <c:spPr>
            <a:solidFill>
              <a:schemeClr val="accent3">
                <a:tint val="77000"/>
              </a:schemeClr>
            </a:solidFill>
            <a:ln>
              <a:solidFill>
                <a:sysClr val="windowText" lastClr="000000"/>
              </a:solidFill>
            </a:ln>
            <a:effectLst/>
          </c:spPr>
          <c:invertIfNegative val="0"/>
          <c:cat>
            <c:strRef>
              <c:f>'7 categories'!$O$6:$U$6</c:f>
              <c:strCache>
                <c:ptCount val="7"/>
                <c:pt idx="0">
                  <c:v>VSA</c:v>
                </c:pt>
                <c:pt idx="1">
                  <c:v>SA</c:v>
                </c:pt>
                <c:pt idx="2">
                  <c:v>A</c:v>
                </c:pt>
                <c:pt idx="3">
                  <c:v>N</c:v>
                </c:pt>
                <c:pt idx="4">
                  <c:v>D</c:v>
                </c:pt>
                <c:pt idx="5">
                  <c:v>SD</c:v>
                </c:pt>
                <c:pt idx="6">
                  <c:v>VSD</c:v>
                </c:pt>
              </c:strCache>
            </c:strRef>
          </c:cat>
          <c:val>
            <c:numRef>
              <c:f>'7 categories'!$O$8:$U$8</c:f>
              <c:numCache>
                <c:formatCode>0.00</c:formatCode>
                <c:ptCount val="7"/>
                <c:pt idx="0">
                  <c:v>2.4390243902439024</c:v>
                </c:pt>
                <c:pt idx="1">
                  <c:v>14.634146341463413</c:v>
                </c:pt>
                <c:pt idx="2">
                  <c:v>14.634146341463413</c:v>
                </c:pt>
                <c:pt idx="3">
                  <c:v>32.926829268292686</c:v>
                </c:pt>
                <c:pt idx="4">
                  <c:v>17.073170731707318</c:v>
                </c:pt>
                <c:pt idx="5">
                  <c:v>8.536585365853659</c:v>
                </c:pt>
                <c:pt idx="6">
                  <c:v>9.7560975609756095</c:v>
                </c:pt>
              </c:numCache>
            </c:numRef>
          </c:val>
          <c:extLst xmlns:c16r2="http://schemas.microsoft.com/office/drawing/2015/06/chart">
            <c:ext xmlns:c16="http://schemas.microsoft.com/office/drawing/2014/chart" uri="{C3380CC4-5D6E-409C-BE32-E72D297353CC}">
              <c16:uniqueId val="{00000001-F64A-46D9-B2B3-AA14F24F821F}"/>
            </c:ext>
          </c:extLst>
        </c:ser>
        <c:dLbls>
          <c:showLegendKey val="0"/>
          <c:showVal val="0"/>
          <c:showCatName val="0"/>
          <c:showSerName val="0"/>
          <c:showPercent val="0"/>
          <c:showBubbleSize val="0"/>
        </c:dLbls>
        <c:gapWidth val="219"/>
        <c:overlap val="-27"/>
        <c:axId val="108910464"/>
        <c:axId val="108912000"/>
      </c:barChart>
      <c:catAx>
        <c:axId val="10891046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912000"/>
        <c:crosses val="autoZero"/>
        <c:auto val="1"/>
        <c:lblAlgn val="ctr"/>
        <c:lblOffset val="100"/>
        <c:noMultiLvlLbl val="0"/>
      </c:catAx>
      <c:valAx>
        <c:axId val="108912000"/>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Percentage</a:t>
                </a:r>
              </a:p>
            </c:rich>
          </c:tx>
          <c:overlay val="0"/>
          <c:spPr>
            <a:noFill/>
            <a:ln>
              <a:noFill/>
            </a:ln>
            <a:effectLst/>
          </c:sp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910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7501975298611941"/>
          <c:y val="7.7892325315005728E-2"/>
          <c:w val="0.79591575186931052"/>
          <c:h val="0.56162855931668343"/>
        </c:manualLayout>
      </c:layout>
      <c:barChart>
        <c:barDir val="col"/>
        <c:grouping val="clustered"/>
        <c:varyColors val="0"/>
        <c:ser>
          <c:idx val="0"/>
          <c:order val="0"/>
          <c:tx>
            <c:strRef>
              <c:f>'8 categories'!$B$7</c:f>
              <c:strCache>
                <c:ptCount val="1"/>
                <c:pt idx="0">
                  <c:v>Male</c:v>
                </c:pt>
              </c:strCache>
            </c:strRef>
          </c:tx>
          <c:spPr>
            <a:solidFill>
              <a:schemeClr val="accent3">
                <a:shade val="76000"/>
              </a:schemeClr>
            </a:solidFill>
            <a:ln>
              <a:solidFill>
                <a:schemeClr val="tx1"/>
              </a:solidFill>
            </a:ln>
            <a:effectLst/>
          </c:spPr>
          <c:invertIfNegative val="0"/>
          <c:cat>
            <c:strRef>
              <c:f>'8 categories'!$D$6:$K$6</c:f>
              <c:strCache>
                <c:ptCount val="8"/>
                <c:pt idx="0">
                  <c:v>A</c:v>
                </c:pt>
                <c:pt idx="1">
                  <c:v>B</c:v>
                </c:pt>
                <c:pt idx="2">
                  <c:v>C</c:v>
                </c:pt>
                <c:pt idx="3">
                  <c:v>D</c:v>
                </c:pt>
                <c:pt idx="4">
                  <c:v>E</c:v>
                </c:pt>
                <c:pt idx="5">
                  <c:v>F</c:v>
                </c:pt>
                <c:pt idx="6">
                  <c:v>G</c:v>
                </c:pt>
                <c:pt idx="7">
                  <c:v>H</c:v>
                </c:pt>
              </c:strCache>
            </c:strRef>
          </c:cat>
          <c:val>
            <c:numRef>
              <c:f>'8 categories'!$D$7:$K$7</c:f>
              <c:numCache>
                <c:formatCode>General</c:formatCode>
                <c:ptCount val="8"/>
                <c:pt idx="0">
                  <c:v>43</c:v>
                </c:pt>
                <c:pt idx="1">
                  <c:v>25</c:v>
                </c:pt>
                <c:pt idx="2">
                  <c:v>32</c:v>
                </c:pt>
                <c:pt idx="3">
                  <c:v>29</c:v>
                </c:pt>
                <c:pt idx="4">
                  <c:v>18</c:v>
                </c:pt>
                <c:pt idx="5">
                  <c:v>15</c:v>
                </c:pt>
                <c:pt idx="6">
                  <c:v>12</c:v>
                </c:pt>
                <c:pt idx="7">
                  <c:v>6</c:v>
                </c:pt>
              </c:numCache>
            </c:numRef>
          </c:val>
          <c:extLst xmlns:c16r2="http://schemas.microsoft.com/office/drawing/2015/06/chart">
            <c:ext xmlns:c16="http://schemas.microsoft.com/office/drawing/2014/chart" uri="{C3380CC4-5D6E-409C-BE32-E72D297353CC}">
              <c16:uniqueId val="{00000000-668F-4209-9D48-CEA787FACB16}"/>
            </c:ext>
          </c:extLst>
        </c:ser>
        <c:ser>
          <c:idx val="1"/>
          <c:order val="1"/>
          <c:tx>
            <c:strRef>
              <c:f>'8 categories'!$B$8</c:f>
              <c:strCache>
                <c:ptCount val="1"/>
                <c:pt idx="0">
                  <c:v>Female</c:v>
                </c:pt>
              </c:strCache>
            </c:strRef>
          </c:tx>
          <c:spPr>
            <a:solidFill>
              <a:schemeClr val="accent3">
                <a:tint val="77000"/>
              </a:schemeClr>
            </a:solidFill>
            <a:ln>
              <a:solidFill>
                <a:schemeClr val="tx1"/>
              </a:solidFill>
            </a:ln>
            <a:effectLst/>
          </c:spPr>
          <c:invertIfNegative val="0"/>
          <c:cat>
            <c:strRef>
              <c:f>'8 categories'!$D$6:$K$6</c:f>
              <c:strCache>
                <c:ptCount val="8"/>
                <c:pt idx="0">
                  <c:v>A</c:v>
                </c:pt>
                <c:pt idx="1">
                  <c:v>B</c:v>
                </c:pt>
                <c:pt idx="2">
                  <c:v>C</c:v>
                </c:pt>
                <c:pt idx="3">
                  <c:v>D</c:v>
                </c:pt>
                <c:pt idx="4">
                  <c:v>E</c:v>
                </c:pt>
                <c:pt idx="5">
                  <c:v>F</c:v>
                </c:pt>
                <c:pt idx="6">
                  <c:v>G</c:v>
                </c:pt>
                <c:pt idx="7">
                  <c:v>H</c:v>
                </c:pt>
              </c:strCache>
            </c:strRef>
          </c:cat>
          <c:val>
            <c:numRef>
              <c:f>'8 categories'!$D$8:$K$8</c:f>
              <c:numCache>
                <c:formatCode>General</c:formatCode>
                <c:ptCount val="8"/>
                <c:pt idx="0">
                  <c:v>42</c:v>
                </c:pt>
                <c:pt idx="1">
                  <c:v>25</c:v>
                </c:pt>
                <c:pt idx="2">
                  <c:v>32</c:v>
                </c:pt>
                <c:pt idx="3">
                  <c:v>28</c:v>
                </c:pt>
                <c:pt idx="4">
                  <c:v>18</c:v>
                </c:pt>
                <c:pt idx="5">
                  <c:v>16</c:v>
                </c:pt>
                <c:pt idx="6">
                  <c:v>12</c:v>
                </c:pt>
                <c:pt idx="7">
                  <c:v>16</c:v>
                </c:pt>
              </c:numCache>
            </c:numRef>
          </c:val>
          <c:extLst xmlns:c16r2="http://schemas.microsoft.com/office/drawing/2015/06/chart">
            <c:ext xmlns:c16="http://schemas.microsoft.com/office/drawing/2014/chart" uri="{C3380CC4-5D6E-409C-BE32-E72D297353CC}">
              <c16:uniqueId val="{00000001-668F-4209-9D48-CEA787FACB16}"/>
            </c:ext>
          </c:extLst>
        </c:ser>
        <c:dLbls>
          <c:showLegendKey val="0"/>
          <c:showVal val="0"/>
          <c:showCatName val="0"/>
          <c:showSerName val="0"/>
          <c:showPercent val="0"/>
          <c:showBubbleSize val="0"/>
        </c:dLbls>
        <c:gapWidth val="219"/>
        <c:overlap val="-27"/>
        <c:axId val="110459520"/>
        <c:axId val="110469504"/>
      </c:barChart>
      <c:catAx>
        <c:axId val="11045952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0469504"/>
        <c:crosses val="autoZero"/>
        <c:auto val="1"/>
        <c:lblAlgn val="ctr"/>
        <c:lblOffset val="100"/>
        <c:noMultiLvlLbl val="0"/>
      </c:catAx>
      <c:valAx>
        <c:axId val="110469504"/>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Frequency</a:t>
                </a:r>
              </a:p>
            </c:rich>
          </c:tx>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0459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508001016002"/>
          <c:y val="9.0548904607798478E-2"/>
          <c:w val="0.7905226766009088"/>
          <c:h val="0.55325630259590164"/>
        </c:manualLayout>
      </c:layout>
      <c:lineChart>
        <c:grouping val="standard"/>
        <c:varyColors val="0"/>
        <c:ser>
          <c:idx val="0"/>
          <c:order val="0"/>
          <c:tx>
            <c:strRef>
              <c:f>'8 categories'!$AD$13</c:f>
              <c:strCache>
                <c:ptCount val="1"/>
                <c:pt idx="0">
                  <c:v>Male</c:v>
                </c:pt>
              </c:strCache>
            </c:strRef>
          </c:tx>
          <c:spPr>
            <a:ln w="28575" cap="rnd">
              <a:solidFill>
                <a:schemeClr val="tx1"/>
              </a:solidFill>
              <a:round/>
            </a:ln>
            <a:effectLst/>
          </c:spPr>
          <c:marker>
            <c:symbol val="none"/>
          </c:marker>
          <c:cat>
            <c:strRef>
              <c:f>'8 categories'!$AE$6:$AL$6</c:f>
              <c:strCache>
                <c:ptCount val="8"/>
                <c:pt idx="0">
                  <c:v>A</c:v>
                </c:pt>
                <c:pt idx="1">
                  <c:v>B</c:v>
                </c:pt>
                <c:pt idx="2">
                  <c:v>C</c:v>
                </c:pt>
                <c:pt idx="3">
                  <c:v>D</c:v>
                </c:pt>
                <c:pt idx="4">
                  <c:v>E</c:v>
                </c:pt>
                <c:pt idx="5">
                  <c:v>F</c:v>
                </c:pt>
                <c:pt idx="6">
                  <c:v>G</c:v>
                </c:pt>
                <c:pt idx="7">
                  <c:v>H</c:v>
                </c:pt>
              </c:strCache>
            </c:strRef>
          </c:cat>
          <c:val>
            <c:numRef>
              <c:f>'8 categories'!$AE$13:$AL$13</c:f>
              <c:numCache>
                <c:formatCode>General</c:formatCode>
                <c:ptCount val="8"/>
                <c:pt idx="0">
                  <c:v>0.2388888888888889</c:v>
                </c:pt>
                <c:pt idx="1">
                  <c:v>0.37777777777777777</c:v>
                </c:pt>
                <c:pt idx="2">
                  <c:v>0.55555555555555558</c:v>
                </c:pt>
                <c:pt idx="3">
                  <c:v>0.71666666666666667</c:v>
                </c:pt>
                <c:pt idx="4">
                  <c:v>0.81666666666666665</c:v>
                </c:pt>
                <c:pt idx="5">
                  <c:v>0.9</c:v>
                </c:pt>
                <c:pt idx="6">
                  <c:v>0.96666666666666667</c:v>
                </c:pt>
                <c:pt idx="7">
                  <c:v>1</c:v>
                </c:pt>
              </c:numCache>
            </c:numRef>
          </c:val>
          <c:smooth val="0"/>
          <c:extLst xmlns:c16r2="http://schemas.microsoft.com/office/drawing/2015/06/chart">
            <c:ext xmlns:c16="http://schemas.microsoft.com/office/drawing/2014/chart" uri="{C3380CC4-5D6E-409C-BE32-E72D297353CC}">
              <c16:uniqueId val="{00000000-E53D-450E-85FD-72850553EFA7}"/>
            </c:ext>
          </c:extLst>
        </c:ser>
        <c:ser>
          <c:idx val="1"/>
          <c:order val="1"/>
          <c:tx>
            <c:strRef>
              <c:f>'8 categories'!$AD$14</c:f>
              <c:strCache>
                <c:ptCount val="1"/>
                <c:pt idx="0">
                  <c:v>Female</c:v>
                </c:pt>
              </c:strCache>
            </c:strRef>
          </c:tx>
          <c:spPr>
            <a:ln w="28575" cap="rnd">
              <a:solidFill>
                <a:schemeClr val="tx1"/>
              </a:solidFill>
              <a:prstDash val="sysDash"/>
              <a:round/>
            </a:ln>
            <a:effectLst/>
          </c:spPr>
          <c:marker>
            <c:symbol val="none"/>
          </c:marker>
          <c:cat>
            <c:strRef>
              <c:f>'8 categories'!$AE$6:$AL$6</c:f>
              <c:strCache>
                <c:ptCount val="8"/>
                <c:pt idx="0">
                  <c:v>A</c:v>
                </c:pt>
                <c:pt idx="1">
                  <c:v>B</c:v>
                </c:pt>
                <c:pt idx="2">
                  <c:v>C</c:v>
                </c:pt>
                <c:pt idx="3">
                  <c:v>D</c:v>
                </c:pt>
                <c:pt idx="4">
                  <c:v>E</c:v>
                </c:pt>
                <c:pt idx="5">
                  <c:v>F</c:v>
                </c:pt>
                <c:pt idx="6">
                  <c:v>G</c:v>
                </c:pt>
                <c:pt idx="7">
                  <c:v>H</c:v>
                </c:pt>
              </c:strCache>
            </c:strRef>
          </c:cat>
          <c:val>
            <c:numRef>
              <c:f>'8 categories'!$AE$14:$AL$14</c:f>
              <c:numCache>
                <c:formatCode>General</c:formatCode>
                <c:ptCount val="8"/>
                <c:pt idx="0">
                  <c:v>0.22222222222222221</c:v>
                </c:pt>
                <c:pt idx="1">
                  <c:v>0.35449735449735448</c:v>
                </c:pt>
                <c:pt idx="2">
                  <c:v>0.52380952380952384</c:v>
                </c:pt>
                <c:pt idx="3">
                  <c:v>0.67195767195767198</c:v>
                </c:pt>
                <c:pt idx="4">
                  <c:v>0.76719576719576721</c:v>
                </c:pt>
                <c:pt idx="5">
                  <c:v>0.85185185185185186</c:v>
                </c:pt>
                <c:pt idx="6">
                  <c:v>0.91534391534391535</c:v>
                </c:pt>
                <c:pt idx="7">
                  <c:v>1</c:v>
                </c:pt>
              </c:numCache>
            </c:numRef>
          </c:val>
          <c:smooth val="0"/>
          <c:extLst xmlns:c16r2="http://schemas.microsoft.com/office/drawing/2015/06/chart">
            <c:ext xmlns:c16="http://schemas.microsoft.com/office/drawing/2014/chart" uri="{C3380CC4-5D6E-409C-BE32-E72D297353CC}">
              <c16:uniqueId val="{00000001-E53D-450E-85FD-72850553EFA7}"/>
            </c:ext>
          </c:extLst>
        </c:ser>
        <c:dLbls>
          <c:showLegendKey val="0"/>
          <c:showVal val="0"/>
          <c:showCatName val="0"/>
          <c:showSerName val="0"/>
          <c:showPercent val="0"/>
          <c:showBubbleSize val="0"/>
        </c:dLbls>
        <c:marker val="1"/>
        <c:smooth val="0"/>
        <c:axId val="110487424"/>
        <c:axId val="110488960"/>
      </c:lineChart>
      <c:catAx>
        <c:axId val="11048742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0488960"/>
        <c:crosses val="autoZero"/>
        <c:auto val="1"/>
        <c:lblAlgn val="ctr"/>
        <c:lblOffset val="100"/>
        <c:noMultiLvlLbl val="0"/>
      </c:catAx>
      <c:valAx>
        <c:axId val="110488960"/>
        <c:scaling>
          <c:orientation val="minMax"/>
          <c:max val="1"/>
          <c:min val="0"/>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Cumulative proportion</a:t>
                </a:r>
              </a:p>
            </c:rich>
          </c:tx>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048742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501975298611941"/>
          <c:y val="7.7892325315005728E-2"/>
          <c:w val="0.79591575186931052"/>
          <c:h val="0.56162855931668343"/>
        </c:manualLayout>
      </c:layout>
      <c:barChart>
        <c:barDir val="col"/>
        <c:grouping val="clustered"/>
        <c:varyColors val="0"/>
        <c:ser>
          <c:idx val="0"/>
          <c:order val="0"/>
          <c:tx>
            <c:strRef>
              <c:f>'8 categories'!$B$7</c:f>
              <c:strCache>
                <c:ptCount val="1"/>
                <c:pt idx="0">
                  <c:v>Male</c:v>
                </c:pt>
              </c:strCache>
            </c:strRef>
          </c:tx>
          <c:spPr>
            <a:solidFill>
              <a:schemeClr val="accent3">
                <a:shade val="76000"/>
              </a:schemeClr>
            </a:solidFill>
            <a:ln>
              <a:solidFill>
                <a:sysClr val="windowText" lastClr="000000"/>
              </a:solidFill>
            </a:ln>
            <a:effectLst/>
          </c:spPr>
          <c:invertIfNegative val="0"/>
          <c:cat>
            <c:strRef>
              <c:f>'8 categories'!$P$6:$W$6</c:f>
              <c:strCache>
                <c:ptCount val="8"/>
                <c:pt idx="0">
                  <c:v>A</c:v>
                </c:pt>
                <c:pt idx="1">
                  <c:v>B</c:v>
                </c:pt>
                <c:pt idx="2">
                  <c:v>C</c:v>
                </c:pt>
                <c:pt idx="3">
                  <c:v>D</c:v>
                </c:pt>
                <c:pt idx="4">
                  <c:v>E</c:v>
                </c:pt>
                <c:pt idx="5">
                  <c:v>F</c:v>
                </c:pt>
                <c:pt idx="6">
                  <c:v>G</c:v>
                </c:pt>
                <c:pt idx="7">
                  <c:v>H</c:v>
                </c:pt>
              </c:strCache>
            </c:strRef>
          </c:cat>
          <c:val>
            <c:numRef>
              <c:f>'8 categories'!$P$7:$W$7</c:f>
              <c:numCache>
                <c:formatCode>0.00</c:formatCode>
                <c:ptCount val="8"/>
                <c:pt idx="0">
                  <c:v>23.888888888888889</c:v>
                </c:pt>
                <c:pt idx="1">
                  <c:v>13.888888888888889</c:v>
                </c:pt>
                <c:pt idx="2">
                  <c:v>17.777777777777779</c:v>
                </c:pt>
                <c:pt idx="3">
                  <c:v>16.111111111111111</c:v>
                </c:pt>
                <c:pt idx="4">
                  <c:v>10</c:v>
                </c:pt>
                <c:pt idx="5">
                  <c:v>8.3333333333333321</c:v>
                </c:pt>
                <c:pt idx="6">
                  <c:v>6.666666666666667</c:v>
                </c:pt>
                <c:pt idx="7">
                  <c:v>3.3333333333333335</c:v>
                </c:pt>
              </c:numCache>
            </c:numRef>
          </c:val>
          <c:extLst xmlns:c16r2="http://schemas.microsoft.com/office/drawing/2015/06/chart">
            <c:ext xmlns:c16="http://schemas.microsoft.com/office/drawing/2014/chart" uri="{C3380CC4-5D6E-409C-BE32-E72D297353CC}">
              <c16:uniqueId val="{00000000-C157-4947-B3A3-59D45995096B}"/>
            </c:ext>
          </c:extLst>
        </c:ser>
        <c:ser>
          <c:idx val="1"/>
          <c:order val="1"/>
          <c:tx>
            <c:strRef>
              <c:f>'8 categories'!$B$8</c:f>
              <c:strCache>
                <c:ptCount val="1"/>
                <c:pt idx="0">
                  <c:v>Female</c:v>
                </c:pt>
              </c:strCache>
            </c:strRef>
          </c:tx>
          <c:spPr>
            <a:solidFill>
              <a:schemeClr val="accent3">
                <a:tint val="77000"/>
              </a:schemeClr>
            </a:solidFill>
            <a:ln>
              <a:solidFill>
                <a:sysClr val="windowText" lastClr="000000"/>
              </a:solidFill>
            </a:ln>
            <a:effectLst/>
          </c:spPr>
          <c:invertIfNegative val="0"/>
          <c:cat>
            <c:strRef>
              <c:f>'8 categories'!$P$6:$W$6</c:f>
              <c:strCache>
                <c:ptCount val="8"/>
                <c:pt idx="0">
                  <c:v>A</c:v>
                </c:pt>
                <c:pt idx="1">
                  <c:v>B</c:v>
                </c:pt>
                <c:pt idx="2">
                  <c:v>C</c:v>
                </c:pt>
                <c:pt idx="3">
                  <c:v>D</c:v>
                </c:pt>
                <c:pt idx="4">
                  <c:v>E</c:v>
                </c:pt>
                <c:pt idx="5">
                  <c:v>F</c:v>
                </c:pt>
                <c:pt idx="6">
                  <c:v>G</c:v>
                </c:pt>
                <c:pt idx="7">
                  <c:v>H</c:v>
                </c:pt>
              </c:strCache>
            </c:strRef>
          </c:cat>
          <c:val>
            <c:numRef>
              <c:f>'8 categories'!$P$8:$W$8</c:f>
              <c:numCache>
                <c:formatCode>0.00</c:formatCode>
                <c:ptCount val="8"/>
                <c:pt idx="0">
                  <c:v>22.222222222222221</c:v>
                </c:pt>
                <c:pt idx="1">
                  <c:v>13.227513227513226</c:v>
                </c:pt>
                <c:pt idx="2">
                  <c:v>16.93121693121693</c:v>
                </c:pt>
                <c:pt idx="3">
                  <c:v>14.814814814814813</c:v>
                </c:pt>
                <c:pt idx="4">
                  <c:v>9.5238095238095237</c:v>
                </c:pt>
                <c:pt idx="5">
                  <c:v>8.4656084656084651</c:v>
                </c:pt>
                <c:pt idx="6">
                  <c:v>6.3492063492063489</c:v>
                </c:pt>
                <c:pt idx="7">
                  <c:v>8.4656084656084651</c:v>
                </c:pt>
              </c:numCache>
            </c:numRef>
          </c:val>
          <c:extLst xmlns:c16r2="http://schemas.microsoft.com/office/drawing/2015/06/chart">
            <c:ext xmlns:c16="http://schemas.microsoft.com/office/drawing/2014/chart" uri="{C3380CC4-5D6E-409C-BE32-E72D297353CC}">
              <c16:uniqueId val="{00000001-C157-4947-B3A3-59D45995096B}"/>
            </c:ext>
          </c:extLst>
        </c:ser>
        <c:dLbls>
          <c:showLegendKey val="0"/>
          <c:showVal val="0"/>
          <c:showCatName val="0"/>
          <c:showSerName val="0"/>
          <c:showPercent val="0"/>
          <c:showBubbleSize val="0"/>
        </c:dLbls>
        <c:gapWidth val="219"/>
        <c:overlap val="-27"/>
        <c:axId val="110531712"/>
        <c:axId val="110533248"/>
      </c:barChart>
      <c:catAx>
        <c:axId val="11053171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0533248"/>
        <c:crosses val="autoZero"/>
        <c:auto val="1"/>
        <c:lblAlgn val="ctr"/>
        <c:lblOffset val="100"/>
        <c:noMultiLvlLbl val="0"/>
      </c:catAx>
      <c:valAx>
        <c:axId val="110533248"/>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Percentage</a:t>
                </a:r>
              </a:p>
            </c:rich>
          </c:tx>
          <c:overlay val="0"/>
          <c:spPr>
            <a:noFill/>
            <a:ln>
              <a:noFill/>
            </a:ln>
            <a:effectLst/>
          </c:sp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0531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7501975298611941"/>
          <c:y val="7.7892325315005728E-2"/>
          <c:w val="0.79591575186931052"/>
          <c:h val="0.56162855931668343"/>
        </c:manualLayout>
      </c:layout>
      <c:barChart>
        <c:barDir val="col"/>
        <c:grouping val="clustered"/>
        <c:varyColors val="0"/>
        <c:ser>
          <c:idx val="0"/>
          <c:order val="0"/>
          <c:tx>
            <c:strRef>
              <c:f>'9 categories'!$B$7</c:f>
              <c:strCache>
                <c:ptCount val="1"/>
                <c:pt idx="0">
                  <c:v>Male</c:v>
                </c:pt>
              </c:strCache>
            </c:strRef>
          </c:tx>
          <c:spPr>
            <a:solidFill>
              <a:schemeClr val="accent3">
                <a:shade val="76000"/>
              </a:schemeClr>
            </a:solidFill>
            <a:ln>
              <a:solidFill>
                <a:schemeClr val="tx1"/>
              </a:solidFill>
            </a:ln>
            <a:effectLst/>
          </c:spPr>
          <c:invertIfNegative val="0"/>
          <c:cat>
            <c:strRef>
              <c:f>'9 categories'!$D$6:$L$6</c:f>
              <c:strCache>
                <c:ptCount val="9"/>
                <c:pt idx="0">
                  <c:v>A</c:v>
                </c:pt>
                <c:pt idx="1">
                  <c:v>B</c:v>
                </c:pt>
                <c:pt idx="2">
                  <c:v>C</c:v>
                </c:pt>
                <c:pt idx="3">
                  <c:v>D</c:v>
                </c:pt>
                <c:pt idx="4">
                  <c:v>E</c:v>
                </c:pt>
                <c:pt idx="5">
                  <c:v>F</c:v>
                </c:pt>
                <c:pt idx="6">
                  <c:v>G</c:v>
                </c:pt>
                <c:pt idx="7">
                  <c:v>H</c:v>
                </c:pt>
                <c:pt idx="8">
                  <c:v>I</c:v>
                </c:pt>
              </c:strCache>
            </c:strRef>
          </c:cat>
          <c:val>
            <c:numRef>
              <c:f>'9 categories'!$D$7:$L$7</c:f>
              <c:numCache>
                <c:formatCode>General</c:formatCode>
                <c:ptCount val="9"/>
                <c:pt idx="0">
                  <c:v>2</c:v>
                </c:pt>
                <c:pt idx="1">
                  <c:v>6</c:v>
                </c:pt>
                <c:pt idx="2">
                  <c:v>4</c:v>
                </c:pt>
                <c:pt idx="3">
                  <c:v>4</c:v>
                </c:pt>
                <c:pt idx="4">
                  <c:v>0</c:v>
                </c:pt>
                <c:pt idx="5">
                  <c:v>0</c:v>
                </c:pt>
                <c:pt idx="6">
                  <c:v>1</c:v>
                </c:pt>
                <c:pt idx="7">
                  <c:v>1</c:v>
                </c:pt>
                <c:pt idx="8">
                  <c:v>0</c:v>
                </c:pt>
              </c:numCache>
            </c:numRef>
          </c:val>
          <c:extLst xmlns:c16r2="http://schemas.microsoft.com/office/drawing/2015/06/chart">
            <c:ext xmlns:c16="http://schemas.microsoft.com/office/drawing/2014/chart" uri="{C3380CC4-5D6E-409C-BE32-E72D297353CC}">
              <c16:uniqueId val="{00000000-4B54-4910-84B1-488ACFACEFC5}"/>
            </c:ext>
          </c:extLst>
        </c:ser>
        <c:ser>
          <c:idx val="1"/>
          <c:order val="1"/>
          <c:tx>
            <c:strRef>
              <c:f>'9 categories'!$B$8</c:f>
              <c:strCache>
                <c:ptCount val="1"/>
                <c:pt idx="0">
                  <c:v>Female</c:v>
                </c:pt>
              </c:strCache>
            </c:strRef>
          </c:tx>
          <c:spPr>
            <a:solidFill>
              <a:schemeClr val="accent3">
                <a:tint val="77000"/>
              </a:schemeClr>
            </a:solidFill>
            <a:ln>
              <a:solidFill>
                <a:schemeClr val="tx1"/>
              </a:solidFill>
            </a:ln>
            <a:effectLst/>
          </c:spPr>
          <c:invertIfNegative val="0"/>
          <c:cat>
            <c:strRef>
              <c:f>'9 categories'!$D$6:$L$6</c:f>
              <c:strCache>
                <c:ptCount val="9"/>
                <c:pt idx="0">
                  <c:v>A</c:v>
                </c:pt>
                <c:pt idx="1">
                  <c:v>B</c:v>
                </c:pt>
                <c:pt idx="2">
                  <c:v>C</c:v>
                </c:pt>
                <c:pt idx="3">
                  <c:v>D</c:v>
                </c:pt>
                <c:pt idx="4">
                  <c:v>E</c:v>
                </c:pt>
                <c:pt idx="5">
                  <c:v>F</c:v>
                </c:pt>
                <c:pt idx="6">
                  <c:v>G</c:v>
                </c:pt>
                <c:pt idx="7">
                  <c:v>H</c:v>
                </c:pt>
                <c:pt idx="8">
                  <c:v>I</c:v>
                </c:pt>
              </c:strCache>
            </c:strRef>
          </c:cat>
          <c:val>
            <c:numRef>
              <c:f>'9 categories'!$D$8:$L$8</c:f>
              <c:numCache>
                <c:formatCode>General</c:formatCode>
                <c:ptCount val="9"/>
                <c:pt idx="0">
                  <c:v>2</c:v>
                </c:pt>
                <c:pt idx="1">
                  <c:v>6</c:v>
                </c:pt>
                <c:pt idx="2">
                  <c:v>6</c:v>
                </c:pt>
                <c:pt idx="3">
                  <c:v>1</c:v>
                </c:pt>
                <c:pt idx="4">
                  <c:v>0</c:v>
                </c:pt>
                <c:pt idx="5">
                  <c:v>0</c:v>
                </c:pt>
                <c:pt idx="6">
                  <c:v>2</c:v>
                </c:pt>
                <c:pt idx="7">
                  <c:v>3</c:v>
                </c:pt>
                <c:pt idx="8">
                  <c:v>1</c:v>
                </c:pt>
              </c:numCache>
            </c:numRef>
          </c:val>
          <c:extLst xmlns:c16r2="http://schemas.microsoft.com/office/drawing/2015/06/chart">
            <c:ext xmlns:c16="http://schemas.microsoft.com/office/drawing/2014/chart" uri="{C3380CC4-5D6E-409C-BE32-E72D297353CC}">
              <c16:uniqueId val="{00000001-4B54-4910-84B1-488ACFACEFC5}"/>
            </c:ext>
          </c:extLst>
        </c:ser>
        <c:dLbls>
          <c:showLegendKey val="0"/>
          <c:showVal val="0"/>
          <c:showCatName val="0"/>
          <c:showSerName val="0"/>
          <c:showPercent val="0"/>
          <c:showBubbleSize val="0"/>
        </c:dLbls>
        <c:gapWidth val="219"/>
        <c:overlap val="-27"/>
        <c:axId val="111126400"/>
        <c:axId val="111127936"/>
      </c:barChart>
      <c:catAx>
        <c:axId val="11112640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1127936"/>
        <c:crosses val="autoZero"/>
        <c:auto val="1"/>
        <c:lblAlgn val="ctr"/>
        <c:lblOffset val="100"/>
        <c:noMultiLvlLbl val="0"/>
      </c:catAx>
      <c:valAx>
        <c:axId val="111127936"/>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Frequency</a:t>
                </a:r>
              </a:p>
            </c:rich>
          </c:tx>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1126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508001016002"/>
          <c:y val="9.0548904607798478E-2"/>
          <c:w val="0.7905226766009088"/>
          <c:h val="0.68410797974447179"/>
        </c:manualLayout>
      </c:layout>
      <c:lineChart>
        <c:grouping val="standard"/>
        <c:varyColors val="0"/>
        <c:ser>
          <c:idx val="0"/>
          <c:order val="0"/>
          <c:tx>
            <c:strRef>
              <c:f>'3 categories'!$R$13</c:f>
              <c:strCache>
                <c:ptCount val="1"/>
                <c:pt idx="0">
                  <c:v>Gosport</c:v>
                </c:pt>
              </c:strCache>
            </c:strRef>
          </c:tx>
          <c:spPr>
            <a:ln w="28575" cap="rnd">
              <a:solidFill>
                <a:schemeClr val="tx1"/>
              </a:solidFill>
              <a:round/>
            </a:ln>
            <a:effectLst/>
          </c:spPr>
          <c:marker>
            <c:symbol val="none"/>
          </c:marker>
          <c:cat>
            <c:strRef>
              <c:f>'3 categories'!$S$6:$U$6</c:f>
              <c:strCache>
                <c:ptCount val="3"/>
                <c:pt idx="0">
                  <c:v>Openings</c:v>
                </c:pt>
                <c:pt idx="1">
                  <c:v>Closings</c:v>
                </c:pt>
                <c:pt idx="2">
                  <c:v>Same</c:v>
                </c:pt>
              </c:strCache>
            </c:strRef>
          </c:cat>
          <c:val>
            <c:numRef>
              <c:f>'3 categories'!$S$13:$U$13</c:f>
              <c:numCache>
                <c:formatCode>General</c:formatCode>
                <c:ptCount val="3"/>
                <c:pt idx="0">
                  <c:v>0.12</c:v>
                </c:pt>
                <c:pt idx="1">
                  <c:v>0.8</c:v>
                </c:pt>
                <c:pt idx="2">
                  <c:v>1</c:v>
                </c:pt>
              </c:numCache>
            </c:numRef>
          </c:val>
          <c:smooth val="0"/>
          <c:extLst xmlns:c16r2="http://schemas.microsoft.com/office/drawing/2015/06/chart">
            <c:ext xmlns:c16="http://schemas.microsoft.com/office/drawing/2014/chart" uri="{C3380CC4-5D6E-409C-BE32-E72D297353CC}">
              <c16:uniqueId val="{00000000-EC0F-4EF9-9D4B-DE22A33375EF}"/>
            </c:ext>
          </c:extLst>
        </c:ser>
        <c:ser>
          <c:idx val="1"/>
          <c:order val="1"/>
          <c:tx>
            <c:strRef>
              <c:f>'3 categories'!$R$14</c:f>
              <c:strCache>
                <c:ptCount val="1"/>
                <c:pt idx="0">
                  <c:v>Fareham</c:v>
                </c:pt>
              </c:strCache>
            </c:strRef>
          </c:tx>
          <c:spPr>
            <a:ln w="28575" cap="rnd">
              <a:solidFill>
                <a:schemeClr val="tx1"/>
              </a:solidFill>
              <a:prstDash val="sysDash"/>
              <a:round/>
            </a:ln>
            <a:effectLst/>
          </c:spPr>
          <c:marker>
            <c:symbol val="none"/>
          </c:marker>
          <c:cat>
            <c:strRef>
              <c:f>'3 categories'!$S$6:$U$6</c:f>
              <c:strCache>
                <c:ptCount val="3"/>
                <c:pt idx="0">
                  <c:v>Openings</c:v>
                </c:pt>
                <c:pt idx="1">
                  <c:v>Closings</c:v>
                </c:pt>
                <c:pt idx="2">
                  <c:v>Same</c:v>
                </c:pt>
              </c:strCache>
            </c:strRef>
          </c:cat>
          <c:val>
            <c:numRef>
              <c:f>'3 categories'!$S$14:$U$14</c:f>
              <c:numCache>
                <c:formatCode>General</c:formatCode>
                <c:ptCount val="3"/>
                <c:pt idx="0">
                  <c:v>0.26250000000000001</c:v>
                </c:pt>
                <c:pt idx="1">
                  <c:v>0.55000000000000004</c:v>
                </c:pt>
                <c:pt idx="2">
                  <c:v>1</c:v>
                </c:pt>
              </c:numCache>
            </c:numRef>
          </c:val>
          <c:smooth val="0"/>
          <c:extLst xmlns:c16r2="http://schemas.microsoft.com/office/drawing/2015/06/chart">
            <c:ext xmlns:c16="http://schemas.microsoft.com/office/drawing/2014/chart" uri="{C3380CC4-5D6E-409C-BE32-E72D297353CC}">
              <c16:uniqueId val="{00000001-EC0F-4EF9-9D4B-DE22A33375EF}"/>
            </c:ext>
          </c:extLst>
        </c:ser>
        <c:dLbls>
          <c:showLegendKey val="0"/>
          <c:showVal val="0"/>
          <c:showCatName val="0"/>
          <c:showSerName val="0"/>
          <c:showPercent val="0"/>
          <c:showBubbleSize val="0"/>
        </c:dLbls>
        <c:marker val="1"/>
        <c:smooth val="0"/>
        <c:axId val="76469760"/>
        <c:axId val="76471296"/>
      </c:lineChart>
      <c:catAx>
        <c:axId val="7646976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6471296"/>
        <c:crosses val="autoZero"/>
        <c:auto val="1"/>
        <c:lblAlgn val="ctr"/>
        <c:lblOffset val="100"/>
        <c:noMultiLvlLbl val="0"/>
      </c:catAx>
      <c:valAx>
        <c:axId val="76471296"/>
        <c:scaling>
          <c:orientation val="minMax"/>
          <c:max val="1"/>
          <c:min val="0"/>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Cumulative proportion</a:t>
                </a:r>
              </a:p>
            </c:rich>
          </c:tx>
          <c:layout/>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6469760"/>
        <c:crosses val="autoZero"/>
        <c:crossBetween val="between"/>
        <c:majorUnit val="0.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508001016002"/>
          <c:y val="9.0548904607798478E-2"/>
          <c:w val="0.7905226766009088"/>
          <c:h val="0.55325630259590164"/>
        </c:manualLayout>
      </c:layout>
      <c:lineChart>
        <c:grouping val="standard"/>
        <c:varyColors val="0"/>
        <c:ser>
          <c:idx val="0"/>
          <c:order val="0"/>
          <c:tx>
            <c:strRef>
              <c:f>'9 categories'!$AC$13</c:f>
              <c:strCache>
                <c:ptCount val="1"/>
                <c:pt idx="0">
                  <c:v>Male</c:v>
                </c:pt>
              </c:strCache>
            </c:strRef>
          </c:tx>
          <c:spPr>
            <a:ln w="28575" cap="rnd">
              <a:solidFill>
                <a:schemeClr val="tx1"/>
              </a:solidFill>
              <a:round/>
            </a:ln>
            <a:effectLst/>
          </c:spPr>
          <c:marker>
            <c:symbol val="none"/>
          </c:marker>
          <c:cat>
            <c:strRef>
              <c:f>'9 categories'!$AD$6:$AL$6</c:f>
              <c:strCache>
                <c:ptCount val="9"/>
                <c:pt idx="0">
                  <c:v>A</c:v>
                </c:pt>
                <c:pt idx="1">
                  <c:v>B</c:v>
                </c:pt>
                <c:pt idx="2">
                  <c:v>C</c:v>
                </c:pt>
                <c:pt idx="3">
                  <c:v>D</c:v>
                </c:pt>
                <c:pt idx="4">
                  <c:v>E</c:v>
                </c:pt>
                <c:pt idx="5">
                  <c:v>F</c:v>
                </c:pt>
                <c:pt idx="6">
                  <c:v>G</c:v>
                </c:pt>
                <c:pt idx="7">
                  <c:v>H</c:v>
                </c:pt>
                <c:pt idx="8">
                  <c:v>I</c:v>
                </c:pt>
              </c:strCache>
            </c:strRef>
          </c:cat>
          <c:val>
            <c:numRef>
              <c:f>'9 categories'!$AD$13:$AL$13</c:f>
              <c:numCache>
                <c:formatCode>General</c:formatCode>
                <c:ptCount val="9"/>
                <c:pt idx="0">
                  <c:v>0.1111111111111111</c:v>
                </c:pt>
                <c:pt idx="1">
                  <c:v>0.44444444444444442</c:v>
                </c:pt>
                <c:pt idx="2">
                  <c:v>0.66666666666666663</c:v>
                </c:pt>
                <c:pt idx="3">
                  <c:v>0.88888888888888884</c:v>
                </c:pt>
                <c:pt idx="4">
                  <c:v>0.88888888888888884</c:v>
                </c:pt>
                <c:pt idx="5">
                  <c:v>0.88888888888888884</c:v>
                </c:pt>
                <c:pt idx="6">
                  <c:v>0.94444444444444442</c:v>
                </c:pt>
                <c:pt idx="7">
                  <c:v>1</c:v>
                </c:pt>
                <c:pt idx="8">
                  <c:v>1</c:v>
                </c:pt>
              </c:numCache>
            </c:numRef>
          </c:val>
          <c:smooth val="0"/>
          <c:extLst xmlns:c16r2="http://schemas.microsoft.com/office/drawing/2015/06/chart">
            <c:ext xmlns:c16="http://schemas.microsoft.com/office/drawing/2014/chart" uri="{C3380CC4-5D6E-409C-BE32-E72D297353CC}">
              <c16:uniqueId val="{00000000-B34C-4EF8-A2A0-06E0A53AC279}"/>
            </c:ext>
          </c:extLst>
        </c:ser>
        <c:ser>
          <c:idx val="1"/>
          <c:order val="1"/>
          <c:tx>
            <c:strRef>
              <c:f>'9 categories'!$AC$14</c:f>
              <c:strCache>
                <c:ptCount val="1"/>
                <c:pt idx="0">
                  <c:v>Female</c:v>
                </c:pt>
              </c:strCache>
            </c:strRef>
          </c:tx>
          <c:spPr>
            <a:ln w="28575" cap="rnd">
              <a:solidFill>
                <a:schemeClr val="tx1"/>
              </a:solidFill>
              <a:prstDash val="sysDash"/>
              <a:round/>
            </a:ln>
            <a:effectLst/>
          </c:spPr>
          <c:marker>
            <c:symbol val="none"/>
          </c:marker>
          <c:cat>
            <c:strRef>
              <c:f>'9 categories'!$AD$6:$AL$6</c:f>
              <c:strCache>
                <c:ptCount val="9"/>
                <c:pt idx="0">
                  <c:v>A</c:v>
                </c:pt>
                <c:pt idx="1">
                  <c:v>B</c:v>
                </c:pt>
                <c:pt idx="2">
                  <c:v>C</c:v>
                </c:pt>
                <c:pt idx="3">
                  <c:v>D</c:v>
                </c:pt>
                <c:pt idx="4">
                  <c:v>E</c:v>
                </c:pt>
                <c:pt idx="5">
                  <c:v>F</c:v>
                </c:pt>
                <c:pt idx="6">
                  <c:v>G</c:v>
                </c:pt>
                <c:pt idx="7">
                  <c:v>H</c:v>
                </c:pt>
                <c:pt idx="8">
                  <c:v>I</c:v>
                </c:pt>
              </c:strCache>
            </c:strRef>
          </c:cat>
          <c:val>
            <c:numRef>
              <c:f>'9 categories'!$AD$14:$AL$14</c:f>
              <c:numCache>
                <c:formatCode>General</c:formatCode>
                <c:ptCount val="9"/>
                <c:pt idx="0">
                  <c:v>9.5238095238095233E-2</c:v>
                </c:pt>
                <c:pt idx="1">
                  <c:v>0.38095238095238093</c:v>
                </c:pt>
                <c:pt idx="2">
                  <c:v>0.66666666666666663</c:v>
                </c:pt>
                <c:pt idx="3">
                  <c:v>0.7142857142857143</c:v>
                </c:pt>
                <c:pt idx="4">
                  <c:v>0.7142857142857143</c:v>
                </c:pt>
                <c:pt idx="5">
                  <c:v>0.7142857142857143</c:v>
                </c:pt>
                <c:pt idx="6">
                  <c:v>0.80952380952380953</c:v>
                </c:pt>
                <c:pt idx="7">
                  <c:v>0.95238095238095233</c:v>
                </c:pt>
                <c:pt idx="8">
                  <c:v>1</c:v>
                </c:pt>
              </c:numCache>
            </c:numRef>
          </c:val>
          <c:smooth val="0"/>
          <c:extLst xmlns:c16r2="http://schemas.microsoft.com/office/drawing/2015/06/chart">
            <c:ext xmlns:c16="http://schemas.microsoft.com/office/drawing/2014/chart" uri="{C3380CC4-5D6E-409C-BE32-E72D297353CC}">
              <c16:uniqueId val="{00000001-B34C-4EF8-A2A0-06E0A53AC279}"/>
            </c:ext>
          </c:extLst>
        </c:ser>
        <c:dLbls>
          <c:showLegendKey val="0"/>
          <c:showVal val="0"/>
          <c:showCatName val="0"/>
          <c:showSerName val="0"/>
          <c:showPercent val="0"/>
          <c:showBubbleSize val="0"/>
        </c:dLbls>
        <c:marker val="1"/>
        <c:smooth val="0"/>
        <c:axId val="110908544"/>
        <c:axId val="110910080"/>
      </c:lineChart>
      <c:catAx>
        <c:axId val="11090854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0910080"/>
        <c:crosses val="autoZero"/>
        <c:auto val="1"/>
        <c:lblAlgn val="ctr"/>
        <c:lblOffset val="100"/>
        <c:noMultiLvlLbl val="0"/>
      </c:catAx>
      <c:valAx>
        <c:axId val="110910080"/>
        <c:scaling>
          <c:orientation val="minMax"/>
          <c:max val="1"/>
          <c:min val="0"/>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Cumulative proportion</a:t>
                </a:r>
              </a:p>
            </c:rich>
          </c:tx>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090854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501975298611941"/>
          <c:y val="7.7892325315005728E-2"/>
          <c:w val="0.79591575186931052"/>
          <c:h val="0.56162855931668343"/>
        </c:manualLayout>
      </c:layout>
      <c:barChart>
        <c:barDir val="col"/>
        <c:grouping val="clustered"/>
        <c:varyColors val="0"/>
        <c:ser>
          <c:idx val="0"/>
          <c:order val="0"/>
          <c:tx>
            <c:strRef>
              <c:f>'9 categories'!$B$7</c:f>
              <c:strCache>
                <c:ptCount val="1"/>
                <c:pt idx="0">
                  <c:v>Male</c:v>
                </c:pt>
              </c:strCache>
            </c:strRef>
          </c:tx>
          <c:spPr>
            <a:solidFill>
              <a:schemeClr val="accent3">
                <a:shade val="76000"/>
              </a:schemeClr>
            </a:solidFill>
            <a:ln>
              <a:solidFill>
                <a:sysClr val="windowText" lastClr="000000"/>
              </a:solidFill>
            </a:ln>
            <a:effectLst/>
          </c:spPr>
          <c:invertIfNegative val="0"/>
          <c:cat>
            <c:strRef>
              <c:f>'9 categories'!$Q$6:$Y$6</c:f>
              <c:strCache>
                <c:ptCount val="9"/>
                <c:pt idx="0">
                  <c:v>A</c:v>
                </c:pt>
                <c:pt idx="1">
                  <c:v>B</c:v>
                </c:pt>
                <c:pt idx="2">
                  <c:v>C</c:v>
                </c:pt>
                <c:pt idx="3">
                  <c:v>D</c:v>
                </c:pt>
                <c:pt idx="4">
                  <c:v>E</c:v>
                </c:pt>
                <c:pt idx="5">
                  <c:v>F</c:v>
                </c:pt>
                <c:pt idx="6">
                  <c:v>G</c:v>
                </c:pt>
                <c:pt idx="7">
                  <c:v>H</c:v>
                </c:pt>
                <c:pt idx="8">
                  <c:v>I</c:v>
                </c:pt>
              </c:strCache>
            </c:strRef>
          </c:cat>
          <c:val>
            <c:numRef>
              <c:f>'9 categories'!$Q$7:$Y$7</c:f>
              <c:numCache>
                <c:formatCode>0.00</c:formatCode>
                <c:ptCount val="9"/>
                <c:pt idx="0">
                  <c:v>11.111111111111111</c:v>
                </c:pt>
                <c:pt idx="1">
                  <c:v>33.333333333333329</c:v>
                </c:pt>
                <c:pt idx="2">
                  <c:v>22.222222222222221</c:v>
                </c:pt>
                <c:pt idx="3">
                  <c:v>22.222222222222221</c:v>
                </c:pt>
                <c:pt idx="4">
                  <c:v>0</c:v>
                </c:pt>
                <c:pt idx="5">
                  <c:v>0</c:v>
                </c:pt>
                <c:pt idx="6">
                  <c:v>5.5555555555555554</c:v>
                </c:pt>
                <c:pt idx="7">
                  <c:v>5.5555555555555554</c:v>
                </c:pt>
                <c:pt idx="8">
                  <c:v>0</c:v>
                </c:pt>
              </c:numCache>
            </c:numRef>
          </c:val>
          <c:extLst xmlns:c16r2="http://schemas.microsoft.com/office/drawing/2015/06/chart">
            <c:ext xmlns:c16="http://schemas.microsoft.com/office/drawing/2014/chart" uri="{C3380CC4-5D6E-409C-BE32-E72D297353CC}">
              <c16:uniqueId val="{00000000-0FCC-4E98-A152-2E16050C2DFC}"/>
            </c:ext>
          </c:extLst>
        </c:ser>
        <c:ser>
          <c:idx val="1"/>
          <c:order val="1"/>
          <c:tx>
            <c:strRef>
              <c:f>'9 categories'!$B$8</c:f>
              <c:strCache>
                <c:ptCount val="1"/>
                <c:pt idx="0">
                  <c:v>Female</c:v>
                </c:pt>
              </c:strCache>
            </c:strRef>
          </c:tx>
          <c:spPr>
            <a:solidFill>
              <a:schemeClr val="accent3">
                <a:tint val="77000"/>
              </a:schemeClr>
            </a:solidFill>
            <a:ln>
              <a:solidFill>
                <a:sysClr val="windowText" lastClr="000000"/>
              </a:solidFill>
            </a:ln>
            <a:effectLst/>
          </c:spPr>
          <c:invertIfNegative val="0"/>
          <c:cat>
            <c:strRef>
              <c:f>'9 categories'!$Q$6:$Y$6</c:f>
              <c:strCache>
                <c:ptCount val="9"/>
                <c:pt idx="0">
                  <c:v>A</c:v>
                </c:pt>
                <c:pt idx="1">
                  <c:v>B</c:v>
                </c:pt>
                <c:pt idx="2">
                  <c:v>C</c:v>
                </c:pt>
                <c:pt idx="3">
                  <c:v>D</c:v>
                </c:pt>
                <c:pt idx="4">
                  <c:v>E</c:v>
                </c:pt>
                <c:pt idx="5">
                  <c:v>F</c:v>
                </c:pt>
                <c:pt idx="6">
                  <c:v>G</c:v>
                </c:pt>
                <c:pt idx="7">
                  <c:v>H</c:v>
                </c:pt>
                <c:pt idx="8">
                  <c:v>I</c:v>
                </c:pt>
              </c:strCache>
            </c:strRef>
          </c:cat>
          <c:val>
            <c:numRef>
              <c:f>'9 categories'!$Q$8:$Y$8</c:f>
              <c:numCache>
                <c:formatCode>0.00</c:formatCode>
                <c:ptCount val="9"/>
                <c:pt idx="0">
                  <c:v>9.5238095238095237</c:v>
                </c:pt>
                <c:pt idx="1">
                  <c:v>28.571428571428569</c:v>
                </c:pt>
                <c:pt idx="2">
                  <c:v>28.571428571428569</c:v>
                </c:pt>
                <c:pt idx="3">
                  <c:v>4.7619047619047619</c:v>
                </c:pt>
                <c:pt idx="4">
                  <c:v>0</c:v>
                </c:pt>
                <c:pt idx="5">
                  <c:v>0</c:v>
                </c:pt>
                <c:pt idx="6">
                  <c:v>9.5238095238095237</c:v>
                </c:pt>
                <c:pt idx="7">
                  <c:v>14.285714285714285</c:v>
                </c:pt>
                <c:pt idx="8">
                  <c:v>4.7619047619047619</c:v>
                </c:pt>
              </c:numCache>
            </c:numRef>
          </c:val>
          <c:extLst xmlns:c16r2="http://schemas.microsoft.com/office/drawing/2015/06/chart">
            <c:ext xmlns:c16="http://schemas.microsoft.com/office/drawing/2014/chart" uri="{C3380CC4-5D6E-409C-BE32-E72D297353CC}">
              <c16:uniqueId val="{00000001-0FCC-4E98-A152-2E16050C2DFC}"/>
            </c:ext>
          </c:extLst>
        </c:ser>
        <c:dLbls>
          <c:showLegendKey val="0"/>
          <c:showVal val="0"/>
          <c:showCatName val="0"/>
          <c:showSerName val="0"/>
          <c:showPercent val="0"/>
          <c:showBubbleSize val="0"/>
        </c:dLbls>
        <c:gapWidth val="219"/>
        <c:overlap val="-27"/>
        <c:axId val="110854528"/>
        <c:axId val="110856064"/>
      </c:barChart>
      <c:catAx>
        <c:axId val="11085452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0856064"/>
        <c:crosses val="autoZero"/>
        <c:auto val="1"/>
        <c:lblAlgn val="ctr"/>
        <c:lblOffset val="100"/>
        <c:noMultiLvlLbl val="0"/>
      </c:catAx>
      <c:valAx>
        <c:axId val="110856064"/>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Percentage</a:t>
                </a:r>
              </a:p>
            </c:rich>
          </c:tx>
          <c:overlay val="0"/>
          <c:spPr>
            <a:noFill/>
            <a:ln>
              <a:noFill/>
            </a:ln>
            <a:effectLst/>
          </c:sp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0854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2015982796425939"/>
          <c:y val="7.7892325315005728E-2"/>
          <c:w val="0.85077571028129539"/>
          <c:h val="0.71349912933009241"/>
        </c:manualLayout>
      </c:layout>
      <c:barChart>
        <c:barDir val="col"/>
        <c:grouping val="clustered"/>
        <c:varyColors val="0"/>
        <c:ser>
          <c:idx val="0"/>
          <c:order val="0"/>
          <c:tx>
            <c:strRef>
              <c:f>'10 categories'!$B$7</c:f>
              <c:strCache>
                <c:ptCount val="1"/>
                <c:pt idx="0">
                  <c:v>Male</c:v>
                </c:pt>
              </c:strCache>
            </c:strRef>
          </c:tx>
          <c:spPr>
            <a:solidFill>
              <a:schemeClr val="accent3">
                <a:shade val="76000"/>
              </a:schemeClr>
            </a:solidFill>
            <a:ln>
              <a:solidFill>
                <a:schemeClr val="tx1"/>
              </a:solidFill>
            </a:ln>
            <a:effectLst/>
          </c:spPr>
          <c:invertIfNegative val="0"/>
          <c:cat>
            <c:strRef>
              <c:f>'10 categories'!$D$6:$M$6</c:f>
              <c:strCache>
                <c:ptCount val="10"/>
                <c:pt idx="0">
                  <c:v>A</c:v>
                </c:pt>
                <c:pt idx="1">
                  <c:v>B</c:v>
                </c:pt>
                <c:pt idx="2">
                  <c:v>C</c:v>
                </c:pt>
                <c:pt idx="3">
                  <c:v>D</c:v>
                </c:pt>
                <c:pt idx="4">
                  <c:v>E</c:v>
                </c:pt>
                <c:pt idx="5">
                  <c:v>F</c:v>
                </c:pt>
                <c:pt idx="6">
                  <c:v>G</c:v>
                </c:pt>
                <c:pt idx="7">
                  <c:v>H</c:v>
                </c:pt>
                <c:pt idx="8">
                  <c:v>I</c:v>
                </c:pt>
                <c:pt idx="9">
                  <c:v>J</c:v>
                </c:pt>
              </c:strCache>
            </c:strRef>
          </c:cat>
          <c:val>
            <c:numRef>
              <c:f>'10 categories'!$D$7:$M$7</c:f>
              <c:numCache>
                <c:formatCode>General</c:formatCode>
                <c:ptCount val="10"/>
                <c:pt idx="0">
                  <c:v>8</c:v>
                </c:pt>
                <c:pt idx="1">
                  <c:v>16</c:v>
                </c:pt>
                <c:pt idx="2">
                  <c:v>35</c:v>
                </c:pt>
                <c:pt idx="3">
                  <c:v>14</c:v>
                </c:pt>
                <c:pt idx="4">
                  <c:v>6</c:v>
                </c:pt>
                <c:pt idx="5">
                  <c:v>2</c:v>
                </c:pt>
                <c:pt idx="6">
                  <c:v>7</c:v>
                </c:pt>
                <c:pt idx="7">
                  <c:v>10</c:v>
                </c:pt>
                <c:pt idx="8">
                  <c:v>2</c:v>
                </c:pt>
                <c:pt idx="9">
                  <c:v>0</c:v>
                </c:pt>
              </c:numCache>
            </c:numRef>
          </c:val>
          <c:extLst xmlns:c16r2="http://schemas.microsoft.com/office/drawing/2015/06/chart">
            <c:ext xmlns:c16="http://schemas.microsoft.com/office/drawing/2014/chart" uri="{C3380CC4-5D6E-409C-BE32-E72D297353CC}">
              <c16:uniqueId val="{00000000-830B-4ABE-814C-1E209FBA619F}"/>
            </c:ext>
          </c:extLst>
        </c:ser>
        <c:ser>
          <c:idx val="1"/>
          <c:order val="1"/>
          <c:tx>
            <c:strRef>
              <c:f>'10 categories'!$B$8</c:f>
              <c:strCache>
                <c:ptCount val="1"/>
                <c:pt idx="0">
                  <c:v>Female</c:v>
                </c:pt>
              </c:strCache>
            </c:strRef>
          </c:tx>
          <c:spPr>
            <a:solidFill>
              <a:schemeClr val="accent3">
                <a:tint val="77000"/>
              </a:schemeClr>
            </a:solidFill>
            <a:ln>
              <a:solidFill>
                <a:schemeClr val="tx1"/>
              </a:solidFill>
            </a:ln>
            <a:effectLst/>
          </c:spPr>
          <c:invertIfNegative val="0"/>
          <c:cat>
            <c:strRef>
              <c:f>'10 categories'!$D$6:$M$6</c:f>
              <c:strCache>
                <c:ptCount val="10"/>
                <c:pt idx="0">
                  <c:v>A</c:v>
                </c:pt>
                <c:pt idx="1">
                  <c:v>B</c:v>
                </c:pt>
                <c:pt idx="2">
                  <c:v>C</c:v>
                </c:pt>
                <c:pt idx="3">
                  <c:v>D</c:v>
                </c:pt>
                <c:pt idx="4">
                  <c:v>E</c:v>
                </c:pt>
                <c:pt idx="5">
                  <c:v>F</c:v>
                </c:pt>
                <c:pt idx="6">
                  <c:v>G</c:v>
                </c:pt>
                <c:pt idx="7">
                  <c:v>H</c:v>
                </c:pt>
                <c:pt idx="8">
                  <c:v>I</c:v>
                </c:pt>
                <c:pt idx="9">
                  <c:v>J</c:v>
                </c:pt>
              </c:strCache>
            </c:strRef>
          </c:cat>
          <c:val>
            <c:numRef>
              <c:f>'10 categories'!$D$8:$M$8</c:f>
              <c:numCache>
                <c:formatCode>General</c:formatCode>
                <c:ptCount val="10"/>
                <c:pt idx="0">
                  <c:v>2</c:v>
                </c:pt>
                <c:pt idx="1">
                  <c:v>6</c:v>
                </c:pt>
                <c:pt idx="2">
                  <c:v>12</c:v>
                </c:pt>
                <c:pt idx="3">
                  <c:v>27</c:v>
                </c:pt>
                <c:pt idx="4">
                  <c:v>20</c:v>
                </c:pt>
                <c:pt idx="5">
                  <c:v>11</c:v>
                </c:pt>
                <c:pt idx="6">
                  <c:v>8</c:v>
                </c:pt>
                <c:pt idx="7">
                  <c:v>10</c:v>
                </c:pt>
                <c:pt idx="8">
                  <c:v>3</c:v>
                </c:pt>
                <c:pt idx="9">
                  <c:v>1</c:v>
                </c:pt>
              </c:numCache>
            </c:numRef>
          </c:val>
          <c:extLst xmlns:c16r2="http://schemas.microsoft.com/office/drawing/2015/06/chart">
            <c:ext xmlns:c16="http://schemas.microsoft.com/office/drawing/2014/chart" uri="{C3380CC4-5D6E-409C-BE32-E72D297353CC}">
              <c16:uniqueId val="{00000001-830B-4ABE-814C-1E209FBA619F}"/>
            </c:ext>
          </c:extLst>
        </c:ser>
        <c:dLbls>
          <c:showLegendKey val="0"/>
          <c:showVal val="0"/>
          <c:showCatName val="0"/>
          <c:showSerName val="0"/>
          <c:showPercent val="0"/>
          <c:showBubbleSize val="0"/>
        </c:dLbls>
        <c:gapWidth val="219"/>
        <c:overlap val="-27"/>
        <c:axId val="110986368"/>
        <c:axId val="110987904"/>
      </c:barChart>
      <c:catAx>
        <c:axId val="11098636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0987904"/>
        <c:crosses val="autoZero"/>
        <c:auto val="1"/>
        <c:lblAlgn val="ctr"/>
        <c:lblOffset val="100"/>
        <c:noMultiLvlLbl val="0"/>
      </c:catAx>
      <c:valAx>
        <c:axId val="110987904"/>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Frequency</a:t>
                </a:r>
              </a:p>
            </c:rich>
          </c:tx>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0986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508001016002"/>
          <c:y val="9.0548904607798478E-2"/>
          <c:w val="0.7905226766009088"/>
          <c:h val="0.68839150173795838"/>
        </c:manualLayout>
      </c:layout>
      <c:lineChart>
        <c:grouping val="standard"/>
        <c:varyColors val="0"/>
        <c:ser>
          <c:idx val="0"/>
          <c:order val="0"/>
          <c:tx>
            <c:strRef>
              <c:f>'10 categories'!$AG$13</c:f>
              <c:strCache>
                <c:ptCount val="1"/>
                <c:pt idx="0">
                  <c:v>Male</c:v>
                </c:pt>
              </c:strCache>
            </c:strRef>
          </c:tx>
          <c:spPr>
            <a:ln w="28575" cap="rnd">
              <a:solidFill>
                <a:schemeClr val="tx1"/>
              </a:solidFill>
              <a:round/>
            </a:ln>
            <a:effectLst/>
          </c:spPr>
          <c:marker>
            <c:symbol val="none"/>
          </c:marker>
          <c:cat>
            <c:strRef>
              <c:f>'10 categories'!$AH$6:$AQ$6</c:f>
              <c:strCache>
                <c:ptCount val="10"/>
                <c:pt idx="0">
                  <c:v>A</c:v>
                </c:pt>
                <c:pt idx="1">
                  <c:v>B</c:v>
                </c:pt>
                <c:pt idx="2">
                  <c:v>C</c:v>
                </c:pt>
                <c:pt idx="3">
                  <c:v>D</c:v>
                </c:pt>
                <c:pt idx="4">
                  <c:v>E</c:v>
                </c:pt>
                <c:pt idx="5">
                  <c:v>F</c:v>
                </c:pt>
                <c:pt idx="6">
                  <c:v>G</c:v>
                </c:pt>
                <c:pt idx="7">
                  <c:v>H</c:v>
                </c:pt>
                <c:pt idx="8">
                  <c:v>I</c:v>
                </c:pt>
                <c:pt idx="9">
                  <c:v>J</c:v>
                </c:pt>
              </c:strCache>
            </c:strRef>
          </c:cat>
          <c:val>
            <c:numRef>
              <c:f>'10 categories'!$AH$13:$AQ$13</c:f>
              <c:numCache>
                <c:formatCode>General</c:formatCode>
                <c:ptCount val="10"/>
                <c:pt idx="0">
                  <c:v>0.08</c:v>
                </c:pt>
                <c:pt idx="1">
                  <c:v>0.24</c:v>
                </c:pt>
                <c:pt idx="2">
                  <c:v>0.59</c:v>
                </c:pt>
                <c:pt idx="3">
                  <c:v>0.73</c:v>
                </c:pt>
                <c:pt idx="4">
                  <c:v>0.79</c:v>
                </c:pt>
                <c:pt idx="5">
                  <c:v>0.81</c:v>
                </c:pt>
                <c:pt idx="6">
                  <c:v>0.88</c:v>
                </c:pt>
                <c:pt idx="7">
                  <c:v>0.98</c:v>
                </c:pt>
                <c:pt idx="8">
                  <c:v>1</c:v>
                </c:pt>
                <c:pt idx="9">
                  <c:v>1</c:v>
                </c:pt>
              </c:numCache>
            </c:numRef>
          </c:val>
          <c:smooth val="0"/>
          <c:extLst xmlns:c16r2="http://schemas.microsoft.com/office/drawing/2015/06/chart">
            <c:ext xmlns:c16="http://schemas.microsoft.com/office/drawing/2014/chart" uri="{C3380CC4-5D6E-409C-BE32-E72D297353CC}">
              <c16:uniqueId val="{00000000-7FCF-4AB1-AB79-CAC1E64FA559}"/>
            </c:ext>
          </c:extLst>
        </c:ser>
        <c:ser>
          <c:idx val="1"/>
          <c:order val="1"/>
          <c:tx>
            <c:strRef>
              <c:f>'10 categories'!$AG$14</c:f>
              <c:strCache>
                <c:ptCount val="1"/>
                <c:pt idx="0">
                  <c:v>Female</c:v>
                </c:pt>
              </c:strCache>
            </c:strRef>
          </c:tx>
          <c:spPr>
            <a:ln w="28575" cap="rnd">
              <a:solidFill>
                <a:schemeClr val="tx1"/>
              </a:solidFill>
              <a:prstDash val="sysDash"/>
              <a:round/>
            </a:ln>
            <a:effectLst/>
          </c:spPr>
          <c:marker>
            <c:symbol val="none"/>
          </c:marker>
          <c:cat>
            <c:strRef>
              <c:f>'10 categories'!$AH$6:$AQ$6</c:f>
              <c:strCache>
                <c:ptCount val="10"/>
                <c:pt idx="0">
                  <c:v>A</c:v>
                </c:pt>
                <c:pt idx="1">
                  <c:v>B</c:v>
                </c:pt>
                <c:pt idx="2">
                  <c:v>C</c:v>
                </c:pt>
                <c:pt idx="3">
                  <c:v>D</c:v>
                </c:pt>
                <c:pt idx="4">
                  <c:v>E</c:v>
                </c:pt>
                <c:pt idx="5">
                  <c:v>F</c:v>
                </c:pt>
                <c:pt idx="6">
                  <c:v>G</c:v>
                </c:pt>
                <c:pt idx="7">
                  <c:v>H</c:v>
                </c:pt>
                <c:pt idx="8">
                  <c:v>I</c:v>
                </c:pt>
                <c:pt idx="9">
                  <c:v>J</c:v>
                </c:pt>
              </c:strCache>
            </c:strRef>
          </c:cat>
          <c:val>
            <c:numRef>
              <c:f>'10 categories'!$AH$14:$AQ$14</c:f>
              <c:numCache>
                <c:formatCode>General</c:formatCode>
                <c:ptCount val="10"/>
                <c:pt idx="0">
                  <c:v>0.02</c:v>
                </c:pt>
                <c:pt idx="1">
                  <c:v>0.08</c:v>
                </c:pt>
                <c:pt idx="2">
                  <c:v>0.2</c:v>
                </c:pt>
                <c:pt idx="3">
                  <c:v>0.47</c:v>
                </c:pt>
                <c:pt idx="4">
                  <c:v>0.67</c:v>
                </c:pt>
                <c:pt idx="5">
                  <c:v>0.78</c:v>
                </c:pt>
                <c:pt idx="6">
                  <c:v>0.86</c:v>
                </c:pt>
                <c:pt idx="7">
                  <c:v>0.96</c:v>
                </c:pt>
                <c:pt idx="8">
                  <c:v>0.99</c:v>
                </c:pt>
                <c:pt idx="9">
                  <c:v>1</c:v>
                </c:pt>
              </c:numCache>
            </c:numRef>
          </c:val>
          <c:smooth val="0"/>
          <c:extLst xmlns:c16r2="http://schemas.microsoft.com/office/drawing/2015/06/chart">
            <c:ext xmlns:c16="http://schemas.microsoft.com/office/drawing/2014/chart" uri="{C3380CC4-5D6E-409C-BE32-E72D297353CC}">
              <c16:uniqueId val="{00000001-7FCF-4AB1-AB79-CAC1E64FA559}"/>
            </c:ext>
          </c:extLst>
        </c:ser>
        <c:dLbls>
          <c:showLegendKey val="0"/>
          <c:showVal val="0"/>
          <c:showCatName val="0"/>
          <c:showSerName val="0"/>
          <c:showPercent val="0"/>
          <c:showBubbleSize val="0"/>
        </c:dLbls>
        <c:marker val="1"/>
        <c:smooth val="0"/>
        <c:axId val="111165824"/>
        <c:axId val="111167360"/>
      </c:lineChart>
      <c:catAx>
        <c:axId val="11116582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1167360"/>
        <c:crosses val="autoZero"/>
        <c:auto val="1"/>
        <c:lblAlgn val="ctr"/>
        <c:lblOffset val="100"/>
        <c:noMultiLvlLbl val="0"/>
      </c:catAx>
      <c:valAx>
        <c:axId val="111167360"/>
        <c:scaling>
          <c:orientation val="minMax"/>
          <c:max val="1"/>
          <c:min val="0"/>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Cumulative proportion</a:t>
                </a:r>
              </a:p>
            </c:rich>
          </c:tx>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116582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015982796425939"/>
          <c:y val="7.7892325315005728E-2"/>
          <c:w val="0.85077571028129539"/>
          <c:h val="0.71349912933009241"/>
        </c:manualLayout>
      </c:layout>
      <c:barChart>
        <c:barDir val="col"/>
        <c:grouping val="clustered"/>
        <c:varyColors val="0"/>
        <c:ser>
          <c:idx val="0"/>
          <c:order val="0"/>
          <c:tx>
            <c:strRef>
              <c:f>'10 categories'!$B$7</c:f>
              <c:strCache>
                <c:ptCount val="1"/>
                <c:pt idx="0">
                  <c:v>Male</c:v>
                </c:pt>
              </c:strCache>
            </c:strRef>
          </c:tx>
          <c:spPr>
            <a:solidFill>
              <a:schemeClr val="accent3">
                <a:shade val="76000"/>
              </a:schemeClr>
            </a:solidFill>
            <a:ln>
              <a:solidFill>
                <a:sysClr val="windowText" lastClr="000000"/>
              </a:solidFill>
            </a:ln>
            <a:effectLst/>
          </c:spPr>
          <c:invertIfNegative val="0"/>
          <c:cat>
            <c:strRef>
              <c:f>'10 categories'!$R$6:$AA$6</c:f>
              <c:strCache>
                <c:ptCount val="10"/>
                <c:pt idx="0">
                  <c:v>A</c:v>
                </c:pt>
                <c:pt idx="1">
                  <c:v>B</c:v>
                </c:pt>
                <c:pt idx="2">
                  <c:v>C</c:v>
                </c:pt>
                <c:pt idx="3">
                  <c:v>D</c:v>
                </c:pt>
                <c:pt idx="4">
                  <c:v>E</c:v>
                </c:pt>
                <c:pt idx="5">
                  <c:v>F</c:v>
                </c:pt>
                <c:pt idx="6">
                  <c:v>G</c:v>
                </c:pt>
                <c:pt idx="7">
                  <c:v>H</c:v>
                </c:pt>
                <c:pt idx="8">
                  <c:v>I</c:v>
                </c:pt>
                <c:pt idx="9">
                  <c:v>J</c:v>
                </c:pt>
              </c:strCache>
            </c:strRef>
          </c:cat>
          <c:val>
            <c:numRef>
              <c:f>'10 categories'!$R$7:$AA$7</c:f>
              <c:numCache>
                <c:formatCode>0.00</c:formatCode>
                <c:ptCount val="10"/>
                <c:pt idx="0">
                  <c:v>8</c:v>
                </c:pt>
                <c:pt idx="1">
                  <c:v>16</c:v>
                </c:pt>
                <c:pt idx="2">
                  <c:v>35</c:v>
                </c:pt>
                <c:pt idx="3">
                  <c:v>14.000000000000002</c:v>
                </c:pt>
                <c:pt idx="4">
                  <c:v>6</c:v>
                </c:pt>
                <c:pt idx="5">
                  <c:v>2</c:v>
                </c:pt>
                <c:pt idx="6">
                  <c:v>7.0000000000000009</c:v>
                </c:pt>
                <c:pt idx="7">
                  <c:v>10</c:v>
                </c:pt>
                <c:pt idx="8">
                  <c:v>2</c:v>
                </c:pt>
                <c:pt idx="9">
                  <c:v>0</c:v>
                </c:pt>
              </c:numCache>
            </c:numRef>
          </c:val>
          <c:extLst xmlns:c16r2="http://schemas.microsoft.com/office/drawing/2015/06/chart">
            <c:ext xmlns:c16="http://schemas.microsoft.com/office/drawing/2014/chart" uri="{C3380CC4-5D6E-409C-BE32-E72D297353CC}">
              <c16:uniqueId val="{00000000-62E7-44F5-B618-27E3C246695A}"/>
            </c:ext>
          </c:extLst>
        </c:ser>
        <c:ser>
          <c:idx val="1"/>
          <c:order val="1"/>
          <c:tx>
            <c:strRef>
              <c:f>'10 categories'!$B$8</c:f>
              <c:strCache>
                <c:ptCount val="1"/>
                <c:pt idx="0">
                  <c:v>Female</c:v>
                </c:pt>
              </c:strCache>
            </c:strRef>
          </c:tx>
          <c:spPr>
            <a:solidFill>
              <a:schemeClr val="accent3">
                <a:tint val="77000"/>
              </a:schemeClr>
            </a:solidFill>
            <a:ln>
              <a:solidFill>
                <a:sysClr val="windowText" lastClr="000000"/>
              </a:solidFill>
            </a:ln>
            <a:effectLst/>
          </c:spPr>
          <c:invertIfNegative val="0"/>
          <c:cat>
            <c:strRef>
              <c:f>'10 categories'!$R$6:$AA$6</c:f>
              <c:strCache>
                <c:ptCount val="10"/>
                <c:pt idx="0">
                  <c:v>A</c:v>
                </c:pt>
                <c:pt idx="1">
                  <c:v>B</c:v>
                </c:pt>
                <c:pt idx="2">
                  <c:v>C</c:v>
                </c:pt>
                <c:pt idx="3">
                  <c:v>D</c:v>
                </c:pt>
                <c:pt idx="4">
                  <c:v>E</c:v>
                </c:pt>
                <c:pt idx="5">
                  <c:v>F</c:v>
                </c:pt>
                <c:pt idx="6">
                  <c:v>G</c:v>
                </c:pt>
                <c:pt idx="7">
                  <c:v>H</c:v>
                </c:pt>
                <c:pt idx="8">
                  <c:v>I</c:v>
                </c:pt>
                <c:pt idx="9">
                  <c:v>J</c:v>
                </c:pt>
              </c:strCache>
            </c:strRef>
          </c:cat>
          <c:val>
            <c:numRef>
              <c:f>'10 categories'!$R$8:$AA$8</c:f>
              <c:numCache>
                <c:formatCode>0.00</c:formatCode>
                <c:ptCount val="10"/>
                <c:pt idx="0">
                  <c:v>2</c:v>
                </c:pt>
                <c:pt idx="1">
                  <c:v>6</c:v>
                </c:pt>
                <c:pt idx="2">
                  <c:v>12</c:v>
                </c:pt>
                <c:pt idx="3">
                  <c:v>27</c:v>
                </c:pt>
                <c:pt idx="4">
                  <c:v>20</c:v>
                </c:pt>
                <c:pt idx="5">
                  <c:v>11</c:v>
                </c:pt>
                <c:pt idx="6">
                  <c:v>8</c:v>
                </c:pt>
                <c:pt idx="7">
                  <c:v>10</c:v>
                </c:pt>
                <c:pt idx="8">
                  <c:v>3</c:v>
                </c:pt>
                <c:pt idx="9">
                  <c:v>1</c:v>
                </c:pt>
              </c:numCache>
            </c:numRef>
          </c:val>
          <c:extLst xmlns:c16r2="http://schemas.microsoft.com/office/drawing/2015/06/chart">
            <c:ext xmlns:c16="http://schemas.microsoft.com/office/drawing/2014/chart" uri="{C3380CC4-5D6E-409C-BE32-E72D297353CC}">
              <c16:uniqueId val="{00000001-62E7-44F5-B618-27E3C246695A}"/>
            </c:ext>
          </c:extLst>
        </c:ser>
        <c:dLbls>
          <c:showLegendKey val="0"/>
          <c:showVal val="0"/>
          <c:showCatName val="0"/>
          <c:showSerName val="0"/>
          <c:showPercent val="0"/>
          <c:showBubbleSize val="0"/>
        </c:dLbls>
        <c:gapWidth val="219"/>
        <c:overlap val="-27"/>
        <c:axId val="111213952"/>
        <c:axId val="113456256"/>
      </c:barChart>
      <c:catAx>
        <c:axId val="11121395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3456256"/>
        <c:crosses val="autoZero"/>
        <c:auto val="1"/>
        <c:lblAlgn val="ctr"/>
        <c:lblOffset val="100"/>
        <c:noMultiLvlLbl val="0"/>
      </c:catAx>
      <c:valAx>
        <c:axId val="113456256"/>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Percentage</a:t>
                </a:r>
              </a:p>
            </c:rich>
          </c:tx>
          <c:overlay val="0"/>
          <c:spPr>
            <a:noFill/>
            <a:ln>
              <a:noFill/>
            </a:ln>
            <a:effectLst/>
          </c:spPr>
        </c:title>
        <c:numFmt formatCode="0.0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1213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3200895586976358"/>
          <c:y val="7.7892325315005728E-2"/>
          <c:w val="0.83892642451951549"/>
          <c:h val="0.68263690286298273"/>
        </c:manualLayout>
      </c:layout>
      <c:barChart>
        <c:barDir val="col"/>
        <c:grouping val="clustered"/>
        <c:varyColors val="0"/>
        <c:ser>
          <c:idx val="0"/>
          <c:order val="0"/>
          <c:tx>
            <c:strRef>
              <c:f>'11 categories'!$B$7</c:f>
              <c:strCache>
                <c:ptCount val="1"/>
                <c:pt idx="0">
                  <c:v>Group 1</c:v>
                </c:pt>
              </c:strCache>
            </c:strRef>
          </c:tx>
          <c:spPr>
            <a:solidFill>
              <a:schemeClr val="accent3">
                <a:shade val="76000"/>
              </a:schemeClr>
            </a:solidFill>
            <a:ln>
              <a:solidFill>
                <a:schemeClr val="tx1"/>
              </a:solidFill>
            </a:ln>
            <a:effectLst/>
          </c:spPr>
          <c:invertIfNegative val="0"/>
          <c:cat>
            <c:strRef>
              <c:f>'11 categories'!$D$6:$N$6</c:f>
              <c:strCache>
                <c:ptCount val="11"/>
                <c:pt idx="0">
                  <c:v>A</c:v>
                </c:pt>
                <c:pt idx="1">
                  <c:v>B</c:v>
                </c:pt>
                <c:pt idx="2">
                  <c:v>C</c:v>
                </c:pt>
                <c:pt idx="3">
                  <c:v>D</c:v>
                </c:pt>
                <c:pt idx="4">
                  <c:v>E</c:v>
                </c:pt>
                <c:pt idx="5">
                  <c:v>F</c:v>
                </c:pt>
                <c:pt idx="6">
                  <c:v>G</c:v>
                </c:pt>
                <c:pt idx="7">
                  <c:v>H</c:v>
                </c:pt>
                <c:pt idx="8">
                  <c:v>I</c:v>
                </c:pt>
                <c:pt idx="9">
                  <c:v>J</c:v>
                </c:pt>
                <c:pt idx="10">
                  <c:v>K</c:v>
                </c:pt>
              </c:strCache>
            </c:strRef>
          </c:cat>
          <c:val>
            <c:numRef>
              <c:f>'11 categories'!$D$7:$N$7</c:f>
              <c:numCache>
                <c:formatCode>General</c:formatCode>
                <c:ptCount val="11"/>
                <c:pt idx="0">
                  <c:v>8</c:v>
                </c:pt>
                <c:pt idx="1">
                  <c:v>6</c:v>
                </c:pt>
                <c:pt idx="2">
                  <c:v>5</c:v>
                </c:pt>
                <c:pt idx="3">
                  <c:v>5</c:v>
                </c:pt>
                <c:pt idx="4">
                  <c:v>14</c:v>
                </c:pt>
                <c:pt idx="5">
                  <c:v>20</c:v>
                </c:pt>
                <c:pt idx="6">
                  <c:v>2</c:v>
                </c:pt>
                <c:pt idx="7">
                  <c:v>7</c:v>
                </c:pt>
                <c:pt idx="8">
                  <c:v>7</c:v>
                </c:pt>
                <c:pt idx="9">
                  <c:v>2</c:v>
                </c:pt>
                <c:pt idx="10">
                  <c:v>0</c:v>
                </c:pt>
              </c:numCache>
            </c:numRef>
          </c:val>
          <c:extLst xmlns:c16r2="http://schemas.microsoft.com/office/drawing/2015/06/chart">
            <c:ext xmlns:c16="http://schemas.microsoft.com/office/drawing/2014/chart" uri="{C3380CC4-5D6E-409C-BE32-E72D297353CC}">
              <c16:uniqueId val="{00000000-B162-4A97-BF0F-CF1FA217DF49}"/>
            </c:ext>
          </c:extLst>
        </c:ser>
        <c:ser>
          <c:idx val="1"/>
          <c:order val="1"/>
          <c:tx>
            <c:strRef>
              <c:f>'11 categories'!$B$8</c:f>
              <c:strCache>
                <c:ptCount val="1"/>
                <c:pt idx="0">
                  <c:v>Group 2</c:v>
                </c:pt>
              </c:strCache>
            </c:strRef>
          </c:tx>
          <c:spPr>
            <a:solidFill>
              <a:schemeClr val="accent3">
                <a:tint val="77000"/>
              </a:schemeClr>
            </a:solidFill>
            <a:ln>
              <a:solidFill>
                <a:schemeClr val="tx1"/>
              </a:solidFill>
            </a:ln>
            <a:effectLst/>
          </c:spPr>
          <c:invertIfNegative val="0"/>
          <c:cat>
            <c:strRef>
              <c:f>'11 categories'!$D$6:$N$6</c:f>
              <c:strCache>
                <c:ptCount val="11"/>
                <c:pt idx="0">
                  <c:v>A</c:v>
                </c:pt>
                <c:pt idx="1">
                  <c:v>B</c:v>
                </c:pt>
                <c:pt idx="2">
                  <c:v>C</c:v>
                </c:pt>
                <c:pt idx="3">
                  <c:v>D</c:v>
                </c:pt>
                <c:pt idx="4">
                  <c:v>E</c:v>
                </c:pt>
                <c:pt idx="5">
                  <c:v>F</c:v>
                </c:pt>
                <c:pt idx="6">
                  <c:v>G</c:v>
                </c:pt>
                <c:pt idx="7">
                  <c:v>H</c:v>
                </c:pt>
                <c:pt idx="8">
                  <c:v>I</c:v>
                </c:pt>
                <c:pt idx="9">
                  <c:v>J</c:v>
                </c:pt>
                <c:pt idx="10">
                  <c:v>K</c:v>
                </c:pt>
              </c:strCache>
            </c:strRef>
          </c:cat>
          <c:val>
            <c:numRef>
              <c:f>'11 categories'!$D$8:$N$8</c:f>
              <c:numCache>
                <c:formatCode>General</c:formatCode>
                <c:ptCount val="11"/>
                <c:pt idx="0">
                  <c:v>12</c:v>
                </c:pt>
                <c:pt idx="1">
                  <c:v>16</c:v>
                </c:pt>
                <c:pt idx="2">
                  <c:v>12</c:v>
                </c:pt>
                <c:pt idx="3">
                  <c:v>12</c:v>
                </c:pt>
                <c:pt idx="4">
                  <c:v>14</c:v>
                </c:pt>
                <c:pt idx="5">
                  <c:v>6</c:v>
                </c:pt>
                <c:pt idx="6">
                  <c:v>5</c:v>
                </c:pt>
                <c:pt idx="7">
                  <c:v>8</c:v>
                </c:pt>
                <c:pt idx="8">
                  <c:v>3</c:v>
                </c:pt>
                <c:pt idx="9">
                  <c:v>3</c:v>
                </c:pt>
                <c:pt idx="10">
                  <c:v>1</c:v>
                </c:pt>
              </c:numCache>
            </c:numRef>
          </c:val>
          <c:extLst xmlns:c16r2="http://schemas.microsoft.com/office/drawing/2015/06/chart">
            <c:ext xmlns:c16="http://schemas.microsoft.com/office/drawing/2014/chart" uri="{C3380CC4-5D6E-409C-BE32-E72D297353CC}">
              <c16:uniqueId val="{00000001-B162-4A97-BF0F-CF1FA217DF49}"/>
            </c:ext>
          </c:extLst>
        </c:ser>
        <c:dLbls>
          <c:showLegendKey val="0"/>
          <c:showVal val="0"/>
          <c:showCatName val="0"/>
          <c:showSerName val="0"/>
          <c:showPercent val="0"/>
          <c:showBubbleSize val="0"/>
        </c:dLbls>
        <c:gapWidth val="219"/>
        <c:overlap val="-27"/>
        <c:axId val="113643904"/>
        <c:axId val="113645440"/>
      </c:barChart>
      <c:catAx>
        <c:axId val="11364390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3645440"/>
        <c:crosses val="autoZero"/>
        <c:auto val="1"/>
        <c:lblAlgn val="ctr"/>
        <c:lblOffset val="100"/>
        <c:noMultiLvlLbl val="0"/>
      </c:catAx>
      <c:valAx>
        <c:axId val="113645440"/>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Frequency</a:t>
                </a:r>
              </a:p>
            </c:rich>
          </c:tx>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3643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508001016002"/>
          <c:y val="9.0548904607798478E-2"/>
          <c:w val="0.7905226766009088"/>
          <c:h val="0.55325630259590164"/>
        </c:manualLayout>
      </c:layout>
      <c:lineChart>
        <c:grouping val="standard"/>
        <c:varyColors val="0"/>
        <c:ser>
          <c:idx val="0"/>
          <c:order val="0"/>
          <c:tx>
            <c:strRef>
              <c:f>'11 categories'!$AH$13</c:f>
              <c:strCache>
                <c:ptCount val="1"/>
                <c:pt idx="0">
                  <c:v>Group 1</c:v>
                </c:pt>
              </c:strCache>
            </c:strRef>
          </c:tx>
          <c:spPr>
            <a:ln w="28575" cap="rnd">
              <a:solidFill>
                <a:schemeClr val="tx1"/>
              </a:solidFill>
              <a:round/>
            </a:ln>
            <a:effectLst/>
          </c:spPr>
          <c:marker>
            <c:symbol val="none"/>
          </c:marker>
          <c:cat>
            <c:strRef>
              <c:f>'11 categories'!$AI$6:$AS$6</c:f>
              <c:strCache>
                <c:ptCount val="11"/>
                <c:pt idx="0">
                  <c:v>A</c:v>
                </c:pt>
                <c:pt idx="1">
                  <c:v>B</c:v>
                </c:pt>
                <c:pt idx="2">
                  <c:v>C</c:v>
                </c:pt>
                <c:pt idx="3">
                  <c:v>D</c:v>
                </c:pt>
                <c:pt idx="4">
                  <c:v>E</c:v>
                </c:pt>
                <c:pt idx="5">
                  <c:v>F</c:v>
                </c:pt>
                <c:pt idx="6">
                  <c:v>G</c:v>
                </c:pt>
                <c:pt idx="7">
                  <c:v>H</c:v>
                </c:pt>
                <c:pt idx="8">
                  <c:v>I</c:v>
                </c:pt>
                <c:pt idx="9">
                  <c:v>J</c:v>
                </c:pt>
                <c:pt idx="10">
                  <c:v>K</c:v>
                </c:pt>
              </c:strCache>
            </c:strRef>
          </c:cat>
          <c:val>
            <c:numRef>
              <c:f>'11 categories'!$AI$13:$AS$13</c:f>
              <c:numCache>
                <c:formatCode>General</c:formatCode>
                <c:ptCount val="11"/>
                <c:pt idx="0">
                  <c:v>0.10526315789473684</c:v>
                </c:pt>
                <c:pt idx="1">
                  <c:v>0.18421052631578946</c:v>
                </c:pt>
                <c:pt idx="2">
                  <c:v>0.25</c:v>
                </c:pt>
                <c:pt idx="3">
                  <c:v>0.31578947368421051</c:v>
                </c:pt>
                <c:pt idx="4">
                  <c:v>0.5</c:v>
                </c:pt>
                <c:pt idx="5">
                  <c:v>0.76315789473684215</c:v>
                </c:pt>
                <c:pt idx="6">
                  <c:v>0.78947368421052633</c:v>
                </c:pt>
                <c:pt idx="7">
                  <c:v>0.88157894736842102</c:v>
                </c:pt>
                <c:pt idx="8">
                  <c:v>0.97368421052631582</c:v>
                </c:pt>
                <c:pt idx="9">
                  <c:v>1</c:v>
                </c:pt>
                <c:pt idx="10">
                  <c:v>1</c:v>
                </c:pt>
              </c:numCache>
            </c:numRef>
          </c:val>
          <c:smooth val="0"/>
          <c:extLst xmlns:c16r2="http://schemas.microsoft.com/office/drawing/2015/06/chart">
            <c:ext xmlns:c16="http://schemas.microsoft.com/office/drawing/2014/chart" uri="{C3380CC4-5D6E-409C-BE32-E72D297353CC}">
              <c16:uniqueId val="{00000000-3A56-4047-874C-06868B623E74}"/>
            </c:ext>
          </c:extLst>
        </c:ser>
        <c:ser>
          <c:idx val="1"/>
          <c:order val="1"/>
          <c:tx>
            <c:strRef>
              <c:f>'11 categories'!$AH$14</c:f>
              <c:strCache>
                <c:ptCount val="1"/>
                <c:pt idx="0">
                  <c:v>Group 2</c:v>
                </c:pt>
              </c:strCache>
            </c:strRef>
          </c:tx>
          <c:spPr>
            <a:ln w="28575" cap="rnd">
              <a:solidFill>
                <a:schemeClr val="tx1"/>
              </a:solidFill>
              <a:prstDash val="sysDash"/>
              <a:round/>
            </a:ln>
            <a:effectLst/>
          </c:spPr>
          <c:marker>
            <c:symbol val="none"/>
          </c:marker>
          <c:cat>
            <c:strRef>
              <c:f>'11 categories'!$AI$6:$AS$6</c:f>
              <c:strCache>
                <c:ptCount val="11"/>
                <c:pt idx="0">
                  <c:v>A</c:v>
                </c:pt>
                <c:pt idx="1">
                  <c:v>B</c:v>
                </c:pt>
                <c:pt idx="2">
                  <c:v>C</c:v>
                </c:pt>
                <c:pt idx="3">
                  <c:v>D</c:v>
                </c:pt>
                <c:pt idx="4">
                  <c:v>E</c:v>
                </c:pt>
                <c:pt idx="5">
                  <c:v>F</c:v>
                </c:pt>
                <c:pt idx="6">
                  <c:v>G</c:v>
                </c:pt>
                <c:pt idx="7">
                  <c:v>H</c:v>
                </c:pt>
                <c:pt idx="8">
                  <c:v>I</c:v>
                </c:pt>
                <c:pt idx="9">
                  <c:v>J</c:v>
                </c:pt>
                <c:pt idx="10">
                  <c:v>K</c:v>
                </c:pt>
              </c:strCache>
            </c:strRef>
          </c:cat>
          <c:val>
            <c:numRef>
              <c:f>'11 categories'!$AI$14:$AS$14</c:f>
              <c:numCache>
                <c:formatCode>General</c:formatCode>
                <c:ptCount val="11"/>
                <c:pt idx="0">
                  <c:v>0.13043478260869565</c:v>
                </c:pt>
                <c:pt idx="1">
                  <c:v>0.30434782608695654</c:v>
                </c:pt>
                <c:pt idx="2">
                  <c:v>0.43478260869565216</c:v>
                </c:pt>
                <c:pt idx="3">
                  <c:v>0.56521739130434778</c:v>
                </c:pt>
                <c:pt idx="4">
                  <c:v>0.71739130434782605</c:v>
                </c:pt>
                <c:pt idx="5">
                  <c:v>0.78260869565217395</c:v>
                </c:pt>
                <c:pt idx="6">
                  <c:v>0.83695652173913049</c:v>
                </c:pt>
                <c:pt idx="7">
                  <c:v>0.92391304347826086</c:v>
                </c:pt>
                <c:pt idx="8">
                  <c:v>0.95652173913043481</c:v>
                </c:pt>
                <c:pt idx="9">
                  <c:v>0.98913043478260865</c:v>
                </c:pt>
                <c:pt idx="10">
                  <c:v>1</c:v>
                </c:pt>
              </c:numCache>
            </c:numRef>
          </c:val>
          <c:smooth val="0"/>
          <c:extLst xmlns:c16r2="http://schemas.microsoft.com/office/drawing/2015/06/chart">
            <c:ext xmlns:c16="http://schemas.microsoft.com/office/drawing/2014/chart" uri="{C3380CC4-5D6E-409C-BE32-E72D297353CC}">
              <c16:uniqueId val="{00000001-3A56-4047-874C-06868B623E74}"/>
            </c:ext>
          </c:extLst>
        </c:ser>
        <c:dLbls>
          <c:showLegendKey val="0"/>
          <c:showVal val="0"/>
          <c:showCatName val="0"/>
          <c:showSerName val="0"/>
          <c:showPercent val="0"/>
          <c:showBubbleSize val="0"/>
        </c:dLbls>
        <c:marker val="1"/>
        <c:smooth val="0"/>
        <c:axId val="113675648"/>
        <c:axId val="113689728"/>
      </c:lineChart>
      <c:catAx>
        <c:axId val="11367564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3689728"/>
        <c:crosses val="autoZero"/>
        <c:auto val="1"/>
        <c:lblAlgn val="ctr"/>
        <c:lblOffset val="100"/>
        <c:noMultiLvlLbl val="0"/>
      </c:catAx>
      <c:valAx>
        <c:axId val="113689728"/>
        <c:scaling>
          <c:orientation val="minMax"/>
          <c:max val="1"/>
          <c:min val="0"/>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Cumulative proportion</a:t>
                </a:r>
              </a:p>
            </c:rich>
          </c:tx>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3675648"/>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200895586976358"/>
          <c:y val="7.7892325315005728E-2"/>
          <c:w val="0.83892642451951549"/>
          <c:h val="0.68263690286298273"/>
        </c:manualLayout>
      </c:layout>
      <c:barChart>
        <c:barDir val="col"/>
        <c:grouping val="clustered"/>
        <c:varyColors val="0"/>
        <c:ser>
          <c:idx val="0"/>
          <c:order val="0"/>
          <c:tx>
            <c:strRef>
              <c:f>'11 categories'!$B$7</c:f>
              <c:strCache>
                <c:ptCount val="1"/>
                <c:pt idx="0">
                  <c:v>Group 1</c:v>
                </c:pt>
              </c:strCache>
            </c:strRef>
          </c:tx>
          <c:spPr>
            <a:solidFill>
              <a:schemeClr val="accent3">
                <a:shade val="76000"/>
              </a:schemeClr>
            </a:solidFill>
            <a:ln>
              <a:solidFill>
                <a:sysClr val="windowText" lastClr="000000"/>
              </a:solidFill>
            </a:ln>
            <a:effectLst/>
          </c:spPr>
          <c:invertIfNegative val="0"/>
          <c:cat>
            <c:strRef>
              <c:f>'11 categories'!$S$6:$AC$6</c:f>
              <c:strCache>
                <c:ptCount val="11"/>
                <c:pt idx="0">
                  <c:v>A</c:v>
                </c:pt>
                <c:pt idx="1">
                  <c:v>B</c:v>
                </c:pt>
                <c:pt idx="2">
                  <c:v>C</c:v>
                </c:pt>
                <c:pt idx="3">
                  <c:v>D</c:v>
                </c:pt>
                <c:pt idx="4">
                  <c:v>E</c:v>
                </c:pt>
                <c:pt idx="5">
                  <c:v>F</c:v>
                </c:pt>
                <c:pt idx="6">
                  <c:v>G</c:v>
                </c:pt>
                <c:pt idx="7">
                  <c:v>H</c:v>
                </c:pt>
                <c:pt idx="8">
                  <c:v>I</c:v>
                </c:pt>
                <c:pt idx="9">
                  <c:v>J</c:v>
                </c:pt>
                <c:pt idx="10">
                  <c:v>K</c:v>
                </c:pt>
              </c:strCache>
            </c:strRef>
          </c:cat>
          <c:val>
            <c:numRef>
              <c:f>'11 categories'!$S$7:$AC$7</c:f>
              <c:numCache>
                <c:formatCode>0.00</c:formatCode>
                <c:ptCount val="11"/>
                <c:pt idx="0">
                  <c:v>10.526315789473683</c:v>
                </c:pt>
                <c:pt idx="1">
                  <c:v>7.8947368421052628</c:v>
                </c:pt>
                <c:pt idx="2">
                  <c:v>6.5789473684210522</c:v>
                </c:pt>
                <c:pt idx="3">
                  <c:v>6.5789473684210522</c:v>
                </c:pt>
                <c:pt idx="4">
                  <c:v>18.421052631578945</c:v>
                </c:pt>
                <c:pt idx="5">
                  <c:v>26.315789473684209</c:v>
                </c:pt>
                <c:pt idx="6">
                  <c:v>2.6315789473684208</c:v>
                </c:pt>
                <c:pt idx="7">
                  <c:v>9.2105263157894726</c:v>
                </c:pt>
                <c:pt idx="8">
                  <c:v>9.2105263157894726</c:v>
                </c:pt>
                <c:pt idx="9">
                  <c:v>2.6315789473684208</c:v>
                </c:pt>
                <c:pt idx="10">
                  <c:v>0</c:v>
                </c:pt>
              </c:numCache>
            </c:numRef>
          </c:val>
          <c:extLst xmlns:c16r2="http://schemas.microsoft.com/office/drawing/2015/06/chart">
            <c:ext xmlns:c16="http://schemas.microsoft.com/office/drawing/2014/chart" uri="{C3380CC4-5D6E-409C-BE32-E72D297353CC}">
              <c16:uniqueId val="{00000000-E7D3-4F81-B7BB-42DCD0DA40C5}"/>
            </c:ext>
          </c:extLst>
        </c:ser>
        <c:ser>
          <c:idx val="1"/>
          <c:order val="1"/>
          <c:tx>
            <c:strRef>
              <c:f>'11 categories'!$B$8</c:f>
              <c:strCache>
                <c:ptCount val="1"/>
                <c:pt idx="0">
                  <c:v>Group 2</c:v>
                </c:pt>
              </c:strCache>
            </c:strRef>
          </c:tx>
          <c:spPr>
            <a:solidFill>
              <a:schemeClr val="accent3">
                <a:tint val="77000"/>
              </a:schemeClr>
            </a:solidFill>
            <a:ln>
              <a:solidFill>
                <a:sysClr val="windowText" lastClr="000000"/>
              </a:solidFill>
            </a:ln>
            <a:effectLst/>
          </c:spPr>
          <c:invertIfNegative val="0"/>
          <c:cat>
            <c:strRef>
              <c:f>'11 categories'!$S$6:$AC$6</c:f>
              <c:strCache>
                <c:ptCount val="11"/>
                <c:pt idx="0">
                  <c:v>A</c:v>
                </c:pt>
                <c:pt idx="1">
                  <c:v>B</c:v>
                </c:pt>
                <c:pt idx="2">
                  <c:v>C</c:v>
                </c:pt>
                <c:pt idx="3">
                  <c:v>D</c:v>
                </c:pt>
                <c:pt idx="4">
                  <c:v>E</c:v>
                </c:pt>
                <c:pt idx="5">
                  <c:v>F</c:v>
                </c:pt>
                <c:pt idx="6">
                  <c:v>G</c:v>
                </c:pt>
                <c:pt idx="7">
                  <c:v>H</c:v>
                </c:pt>
                <c:pt idx="8">
                  <c:v>I</c:v>
                </c:pt>
                <c:pt idx="9">
                  <c:v>J</c:v>
                </c:pt>
                <c:pt idx="10">
                  <c:v>K</c:v>
                </c:pt>
              </c:strCache>
            </c:strRef>
          </c:cat>
          <c:val>
            <c:numRef>
              <c:f>'11 categories'!$S$8:$AC$8</c:f>
              <c:numCache>
                <c:formatCode>0.00</c:formatCode>
                <c:ptCount val="11"/>
                <c:pt idx="0">
                  <c:v>13.043478260869565</c:v>
                </c:pt>
                <c:pt idx="1">
                  <c:v>17.391304347826086</c:v>
                </c:pt>
                <c:pt idx="2">
                  <c:v>13.043478260869565</c:v>
                </c:pt>
                <c:pt idx="3">
                  <c:v>13.043478260869565</c:v>
                </c:pt>
                <c:pt idx="4">
                  <c:v>15.217391304347828</c:v>
                </c:pt>
                <c:pt idx="5">
                  <c:v>6.5217391304347823</c:v>
                </c:pt>
                <c:pt idx="6">
                  <c:v>5.4347826086956523</c:v>
                </c:pt>
                <c:pt idx="7">
                  <c:v>8.695652173913043</c:v>
                </c:pt>
                <c:pt idx="8">
                  <c:v>3.2608695652173911</c:v>
                </c:pt>
                <c:pt idx="9">
                  <c:v>3.2608695652173911</c:v>
                </c:pt>
                <c:pt idx="10">
                  <c:v>1.0869565217391304</c:v>
                </c:pt>
              </c:numCache>
            </c:numRef>
          </c:val>
          <c:extLst xmlns:c16r2="http://schemas.microsoft.com/office/drawing/2015/06/chart">
            <c:ext xmlns:c16="http://schemas.microsoft.com/office/drawing/2014/chart" uri="{C3380CC4-5D6E-409C-BE32-E72D297353CC}">
              <c16:uniqueId val="{00000001-E7D3-4F81-B7BB-42DCD0DA40C5}"/>
            </c:ext>
          </c:extLst>
        </c:ser>
        <c:dLbls>
          <c:showLegendKey val="0"/>
          <c:showVal val="0"/>
          <c:showCatName val="0"/>
          <c:showSerName val="0"/>
          <c:showPercent val="0"/>
          <c:showBubbleSize val="0"/>
        </c:dLbls>
        <c:gapWidth val="219"/>
        <c:overlap val="-27"/>
        <c:axId val="126843520"/>
        <c:axId val="126845312"/>
      </c:barChart>
      <c:catAx>
        <c:axId val="12684352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26845312"/>
        <c:crosses val="autoZero"/>
        <c:auto val="1"/>
        <c:lblAlgn val="ctr"/>
        <c:lblOffset val="100"/>
        <c:noMultiLvlLbl val="0"/>
      </c:catAx>
      <c:valAx>
        <c:axId val="126845312"/>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Percentage</a:t>
                </a:r>
              </a:p>
            </c:rich>
          </c:tx>
          <c:overlay val="0"/>
          <c:spPr>
            <a:noFill/>
            <a:ln>
              <a:noFill/>
            </a:ln>
            <a:effectLst/>
          </c:sp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26843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1266961234162276"/>
          <c:y val="7.7892325315005728E-2"/>
          <c:w val="0.85826582828225606"/>
          <c:h val="0.70456557422887411"/>
        </c:manualLayout>
      </c:layout>
      <c:barChart>
        <c:barDir val="col"/>
        <c:grouping val="clustered"/>
        <c:varyColors val="0"/>
        <c:ser>
          <c:idx val="0"/>
          <c:order val="0"/>
          <c:tx>
            <c:strRef>
              <c:f>'12 categories'!$B$11</c:f>
              <c:strCache>
                <c:ptCount val="1"/>
                <c:pt idx="0">
                  <c:v>Sample A</c:v>
                </c:pt>
              </c:strCache>
            </c:strRef>
          </c:tx>
          <c:spPr>
            <a:solidFill>
              <a:schemeClr val="accent3">
                <a:shade val="76000"/>
              </a:schemeClr>
            </a:solidFill>
            <a:ln>
              <a:solidFill>
                <a:schemeClr val="tx1"/>
              </a:solidFill>
            </a:ln>
            <a:effectLst/>
          </c:spPr>
          <c:invertIfNegative val="0"/>
          <c:cat>
            <c:strRef>
              <c:f>'12 categories'!$D$10:$O$10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'12 categories'!$D$11:$O$11</c:f>
              <c:numCache>
                <c:formatCode>General</c:formatCode>
                <c:ptCount val="12"/>
                <c:pt idx="0">
                  <c:v>2</c:v>
                </c:pt>
                <c:pt idx="1">
                  <c:v>5</c:v>
                </c:pt>
                <c:pt idx="2">
                  <c:v>4</c:v>
                </c:pt>
                <c:pt idx="3">
                  <c:v>9</c:v>
                </c:pt>
                <c:pt idx="4">
                  <c:v>10</c:v>
                </c:pt>
                <c:pt idx="5">
                  <c:v>15</c:v>
                </c:pt>
                <c:pt idx="6">
                  <c:v>21</c:v>
                </c:pt>
                <c:pt idx="7">
                  <c:v>22</c:v>
                </c:pt>
                <c:pt idx="8">
                  <c:v>12</c:v>
                </c:pt>
                <c:pt idx="9">
                  <c:v>8</c:v>
                </c:pt>
                <c:pt idx="10">
                  <c:v>5</c:v>
                </c:pt>
                <c:pt idx="11">
                  <c:v>2</c:v>
                </c:pt>
              </c:numCache>
            </c:numRef>
          </c:val>
          <c:extLst xmlns:c16r2="http://schemas.microsoft.com/office/drawing/2015/06/chart">
            <c:ext xmlns:c16="http://schemas.microsoft.com/office/drawing/2014/chart" uri="{C3380CC4-5D6E-409C-BE32-E72D297353CC}">
              <c16:uniqueId val="{00000000-A8AF-4628-B57A-E0DE79FA499F}"/>
            </c:ext>
          </c:extLst>
        </c:ser>
        <c:ser>
          <c:idx val="1"/>
          <c:order val="1"/>
          <c:tx>
            <c:strRef>
              <c:f>'12 categories'!$B$12</c:f>
              <c:strCache>
                <c:ptCount val="1"/>
                <c:pt idx="0">
                  <c:v>Sample B</c:v>
                </c:pt>
              </c:strCache>
            </c:strRef>
          </c:tx>
          <c:spPr>
            <a:solidFill>
              <a:schemeClr val="accent3">
                <a:tint val="77000"/>
              </a:schemeClr>
            </a:solidFill>
            <a:ln>
              <a:solidFill>
                <a:schemeClr val="tx1"/>
              </a:solidFill>
            </a:ln>
            <a:effectLst/>
          </c:spPr>
          <c:invertIfNegative val="0"/>
          <c:cat>
            <c:strRef>
              <c:f>'12 categories'!$D$10:$O$10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'12 categories'!$D$12:$O$12</c:f>
              <c:numCache>
                <c:formatCode>General</c:formatCode>
                <c:ptCount val="12"/>
                <c:pt idx="0">
                  <c:v>0</c:v>
                </c:pt>
                <c:pt idx="1">
                  <c:v>5</c:v>
                </c:pt>
                <c:pt idx="2">
                  <c:v>7</c:v>
                </c:pt>
                <c:pt idx="3">
                  <c:v>15</c:v>
                </c:pt>
                <c:pt idx="4">
                  <c:v>18</c:v>
                </c:pt>
                <c:pt idx="5">
                  <c:v>24</c:v>
                </c:pt>
                <c:pt idx="6">
                  <c:v>17</c:v>
                </c:pt>
                <c:pt idx="7">
                  <c:v>8</c:v>
                </c:pt>
                <c:pt idx="8">
                  <c:v>5</c:v>
                </c:pt>
                <c:pt idx="9">
                  <c:v>1</c:v>
                </c:pt>
                <c:pt idx="10">
                  <c:v>2</c:v>
                </c:pt>
                <c:pt idx="11">
                  <c:v>0</c:v>
                </c:pt>
              </c:numCache>
            </c:numRef>
          </c:val>
          <c:extLst xmlns:c16r2="http://schemas.microsoft.com/office/drawing/2015/06/chart">
            <c:ext xmlns:c16="http://schemas.microsoft.com/office/drawing/2014/chart" uri="{C3380CC4-5D6E-409C-BE32-E72D297353CC}">
              <c16:uniqueId val="{00000001-A8AF-4628-B57A-E0DE79FA499F}"/>
            </c:ext>
          </c:extLst>
        </c:ser>
        <c:dLbls>
          <c:showLegendKey val="0"/>
          <c:showVal val="0"/>
          <c:showCatName val="0"/>
          <c:showSerName val="0"/>
          <c:showPercent val="0"/>
          <c:showBubbleSize val="0"/>
        </c:dLbls>
        <c:gapWidth val="219"/>
        <c:overlap val="-27"/>
        <c:axId val="98581888"/>
        <c:axId val="98583680"/>
      </c:barChart>
      <c:catAx>
        <c:axId val="9858188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583680"/>
        <c:crosses val="autoZero"/>
        <c:auto val="1"/>
        <c:lblAlgn val="ctr"/>
        <c:lblOffset val="100"/>
        <c:noMultiLvlLbl val="0"/>
      </c:catAx>
      <c:valAx>
        <c:axId val="98583680"/>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Frequency</a:t>
                </a:r>
              </a:p>
            </c:rich>
          </c:tx>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581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508001016002"/>
          <c:y val="9.0548904607798478E-2"/>
          <c:w val="0.7905226766009088"/>
          <c:h val="0.55325630259590164"/>
        </c:manualLayout>
      </c:layout>
      <c:lineChart>
        <c:grouping val="standard"/>
        <c:varyColors val="0"/>
        <c:ser>
          <c:idx val="0"/>
          <c:order val="0"/>
          <c:tx>
            <c:strRef>
              <c:f>'12 categories'!$AI$17</c:f>
              <c:strCache>
                <c:ptCount val="1"/>
                <c:pt idx="0">
                  <c:v>Sample A</c:v>
                </c:pt>
              </c:strCache>
            </c:strRef>
          </c:tx>
          <c:spPr>
            <a:ln w="28575" cap="rnd">
              <a:solidFill>
                <a:schemeClr val="tx1"/>
              </a:solidFill>
              <a:round/>
            </a:ln>
            <a:effectLst/>
          </c:spPr>
          <c:marker>
            <c:symbol val="none"/>
          </c:marker>
          <c:cat>
            <c:strRef>
              <c:f>'12 categories'!$AJ$10:$AU$10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'12 categories'!$AJ$17:$AU$17</c:f>
              <c:numCache>
                <c:formatCode>General</c:formatCode>
                <c:ptCount val="12"/>
                <c:pt idx="0">
                  <c:v>1.7391304347826087E-2</c:v>
                </c:pt>
                <c:pt idx="1">
                  <c:v>6.0869565217391307E-2</c:v>
                </c:pt>
                <c:pt idx="2">
                  <c:v>9.5652173913043481E-2</c:v>
                </c:pt>
                <c:pt idx="3">
                  <c:v>0.17391304347826086</c:v>
                </c:pt>
                <c:pt idx="4">
                  <c:v>0.2608695652173913</c:v>
                </c:pt>
                <c:pt idx="5">
                  <c:v>0.39130434782608697</c:v>
                </c:pt>
                <c:pt idx="6">
                  <c:v>0.57391304347826089</c:v>
                </c:pt>
                <c:pt idx="7">
                  <c:v>0.76521739130434785</c:v>
                </c:pt>
                <c:pt idx="8">
                  <c:v>0.86956521739130432</c:v>
                </c:pt>
                <c:pt idx="9">
                  <c:v>0.93913043478260871</c:v>
                </c:pt>
                <c:pt idx="10">
                  <c:v>0.9826086956521739</c:v>
                </c:pt>
                <c:pt idx="11">
                  <c:v>1</c:v>
                </c:pt>
              </c:numCache>
            </c:numRef>
          </c:val>
          <c:smooth val="0"/>
          <c:extLst xmlns:c16r2="http://schemas.microsoft.com/office/drawing/2015/06/chart">
            <c:ext xmlns:c16="http://schemas.microsoft.com/office/drawing/2014/chart" uri="{C3380CC4-5D6E-409C-BE32-E72D297353CC}">
              <c16:uniqueId val="{00000000-3AF2-4C2E-BA77-1E3B749C3425}"/>
            </c:ext>
          </c:extLst>
        </c:ser>
        <c:ser>
          <c:idx val="1"/>
          <c:order val="1"/>
          <c:tx>
            <c:strRef>
              <c:f>'12 categories'!$AI$18</c:f>
              <c:strCache>
                <c:ptCount val="1"/>
                <c:pt idx="0">
                  <c:v>Sample B</c:v>
                </c:pt>
              </c:strCache>
            </c:strRef>
          </c:tx>
          <c:spPr>
            <a:ln w="28575" cap="rnd">
              <a:solidFill>
                <a:schemeClr val="tx1"/>
              </a:solidFill>
              <a:prstDash val="sysDash"/>
              <a:round/>
            </a:ln>
            <a:effectLst/>
          </c:spPr>
          <c:marker>
            <c:symbol val="none"/>
          </c:marker>
          <c:cat>
            <c:strRef>
              <c:f>'12 categories'!$AJ$10:$AU$10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'12 categories'!$AJ$18:$AU$18</c:f>
              <c:numCache>
                <c:formatCode>General</c:formatCode>
                <c:ptCount val="12"/>
                <c:pt idx="0">
                  <c:v>0</c:v>
                </c:pt>
                <c:pt idx="1">
                  <c:v>4.9019607843137254E-2</c:v>
                </c:pt>
                <c:pt idx="2">
                  <c:v>0.11764705882352941</c:v>
                </c:pt>
                <c:pt idx="3">
                  <c:v>0.26470588235294118</c:v>
                </c:pt>
                <c:pt idx="4">
                  <c:v>0.44117647058823528</c:v>
                </c:pt>
                <c:pt idx="5">
                  <c:v>0.67647058823529416</c:v>
                </c:pt>
                <c:pt idx="6">
                  <c:v>0.84313725490196079</c:v>
                </c:pt>
                <c:pt idx="7">
                  <c:v>0.92156862745098034</c:v>
                </c:pt>
                <c:pt idx="8">
                  <c:v>0.97058823529411764</c:v>
                </c:pt>
                <c:pt idx="9">
                  <c:v>0.98039215686274506</c:v>
                </c:pt>
                <c:pt idx="10">
                  <c:v>1</c:v>
                </c:pt>
                <c:pt idx="11">
                  <c:v>1</c:v>
                </c:pt>
              </c:numCache>
            </c:numRef>
          </c:val>
          <c:smooth val="0"/>
          <c:extLst xmlns:c16r2="http://schemas.microsoft.com/office/drawing/2015/06/chart">
            <c:ext xmlns:c16="http://schemas.microsoft.com/office/drawing/2014/chart" uri="{C3380CC4-5D6E-409C-BE32-E72D297353CC}">
              <c16:uniqueId val="{00000001-3AF2-4C2E-BA77-1E3B749C3425}"/>
            </c:ext>
          </c:extLst>
        </c:ser>
        <c:dLbls>
          <c:showLegendKey val="0"/>
          <c:showVal val="0"/>
          <c:showCatName val="0"/>
          <c:showSerName val="0"/>
          <c:showPercent val="0"/>
          <c:showBubbleSize val="0"/>
        </c:dLbls>
        <c:marker val="1"/>
        <c:smooth val="0"/>
        <c:axId val="110873216"/>
        <c:axId val="126873984"/>
      </c:lineChart>
      <c:catAx>
        <c:axId val="11087321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26873984"/>
        <c:crosses val="autoZero"/>
        <c:auto val="1"/>
        <c:lblAlgn val="ctr"/>
        <c:lblOffset val="100"/>
        <c:noMultiLvlLbl val="0"/>
      </c:catAx>
      <c:valAx>
        <c:axId val="126873984"/>
        <c:scaling>
          <c:orientation val="minMax"/>
          <c:max val="1"/>
          <c:min val="0"/>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Cumulative proportion</a:t>
                </a:r>
              </a:p>
            </c:rich>
          </c:tx>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087321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412056730690563"/>
          <c:y val="7.7892325315005728E-2"/>
          <c:w val="0.79591575186931052"/>
          <c:h val="0.71741320994669477"/>
        </c:manualLayout>
      </c:layout>
      <c:barChart>
        <c:barDir val="col"/>
        <c:grouping val="clustered"/>
        <c:varyColors val="0"/>
        <c:ser>
          <c:idx val="0"/>
          <c:order val="0"/>
          <c:tx>
            <c:strRef>
              <c:f>'3 categories'!$B$7</c:f>
              <c:strCache>
                <c:ptCount val="1"/>
                <c:pt idx="0">
                  <c:v>Gosport</c:v>
                </c:pt>
              </c:strCache>
            </c:strRef>
          </c:tx>
          <c:spPr>
            <a:solidFill>
              <a:schemeClr val="accent3">
                <a:shade val="76000"/>
              </a:schemeClr>
            </a:solidFill>
            <a:ln>
              <a:solidFill>
                <a:schemeClr val="tx1"/>
              </a:solidFill>
            </a:ln>
            <a:effectLst/>
          </c:spPr>
          <c:invertIfNegative val="0"/>
          <c:cat>
            <c:strRef>
              <c:f>'3 categories'!$D$6:$F$6</c:f>
              <c:strCache>
                <c:ptCount val="3"/>
                <c:pt idx="0">
                  <c:v>Openings</c:v>
                </c:pt>
                <c:pt idx="1">
                  <c:v>Closings</c:v>
                </c:pt>
                <c:pt idx="2">
                  <c:v>Same</c:v>
                </c:pt>
              </c:strCache>
            </c:strRef>
          </c:cat>
          <c:val>
            <c:numRef>
              <c:f>'3 categories'!$L$7:$N$7</c:f>
              <c:numCache>
                <c:formatCode>0.00</c:formatCode>
                <c:ptCount val="3"/>
                <c:pt idx="0">
                  <c:v>12</c:v>
                </c:pt>
                <c:pt idx="1">
                  <c:v>68</c:v>
                </c:pt>
                <c:pt idx="2">
                  <c:v>20</c:v>
                </c:pt>
              </c:numCache>
            </c:numRef>
          </c:val>
          <c:extLst xmlns:c16r2="http://schemas.microsoft.com/office/drawing/2015/06/chart">
            <c:ext xmlns:c16="http://schemas.microsoft.com/office/drawing/2014/chart" uri="{C3380CC4-5D6E-409C-BE32-E72D297353CC}">
              <c16:uniqueId val="{00000000-B1F2-4DDF-A12B-645C4709CE14}"/>
            </c:ext>
          </c:extLst>
        </c:ser>
        <c:ser>
          <c:idx val="1"/>
          <c:order val="1"/>
          <c:tx>
            <c:strRef>
              <c:f>'3 categories'!$B$8</c:f>
              <c:strCache>
                <c:ptCount val="1"/>
                <c:pt idx="0">
                  <c:v>Fareham</c:v>
                </c:pt>
              </c:strCache>
            </c:strRef>
          </c:tx>
          <c:spPr>
            <a:solidFill>
              <a:schemeClr val="accent3">
                <a:tint val="77000"/>
              </a:schemeClr>
            </a:solidFill>
            <a:ln>
              <a:solidFill>
                <a:schemeClr val="tx1"/>
              </a:solidFill>
            </a:ln>
            <a:effectLst/>
          </c:spPr>
          <c:invertIfNegative val="0"/>
          <c:cat>
            <c:strRef>
              <c:f>'3 categories'!$D$6:$F$6</c:f>
              <c:strCache>
                <c:ptCount val="3"/>
                <c:pt idx="0">
                  <c:v>Openings</c:v>
                </c:pt>
                <c:pt idx="1">
                  <c:v>Closings</c:v>
                </c:pt>
                <c:pt idx="2">
                  <c:v>Same</c:v>
                </c:pt>
              </c:strCache>
            </c:strRef>
          </c:cat>
          <c:val>
            <c:numRef>
              <c:f>'3 categories'!$L$8:$N$8</c:f>
              <c:numCache>
                <c:formatCode>0.00</c:formatCode>
                <c:ptCount val="3"/>
                <c:pt idx="0">
                  <c:v>26.25</c:v>
                </c:pt>
                <c:pt idx="1">
                  <c:v>28.749999999999996</c:v>
                </c:pt>
                <c:pt idx="2">
                  <c:v>45</c:v>
                </c:pt>
              </c:numCache>
            </c:numRef>
          </c:val>
          <c:extLst xmlns:c16r2="http://schemas.microsoft.com/office/drawing/2015/06/chart">
            <c:ext xmlns:c16="http://schemas.microsoft.com/office/drawing/2014/chart" uri="{C3380CC4-5D6E-409C-BE32-E72D297353CC}">
              <c16:uniqueId val="{00000001-B1F2-4DDF-A12B-645C4709CE14}"/>
            </c:ext>
          </c:extLst>
        </c:ser>
        <c:dLbls>
          <c:showLegendKey val="0"/>
          <c:showVal val="0"/>
          <c:showCatName val="0"/>
          <c:showSerName val="0"/>
          <c:showPercent val="0"/>
          <c:showBubbleSize val="0"/>
        </c:dLbls>
        <c:gapWidth val="219"/>
        <c:overlap val="-27"/>
        <c:axId val="76734848"/>
        <c:axId val="76736384"/>
      </c:barChart>
      <c:catAx>
        <c:axId val="7673484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6736384"/>
        <c:crosses val="autoZero"/>
        <c:auto val="1"/>
        <c:lblAlgn val="ctr"/>
        <c:lblOffset val="100"/>
        <c:noMultiLvlLbl val="0"/>
      </c:catAx>
      <c:valAx>
        <c:axId val="76736384"/>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Percentage</a:t>
                </a:r>
              </a:p>
            </c:rich>
          </c:tx>
          <c:layout/>
          <c:overlay val="0"/>
          <c:spPr>
            <a:noFill/>
            <a:ln>
              <a:noFill/>
            </a:ln>
            <a:effectLst/>
          </c:spPr>
        </c:title>
        <c:numFmt formatCode="0.0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67348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1266961234162276"/>
          <c:y val="7.7892325315005728E-2"/>
          <c:w val="0.85826582828225606"/>
          <c:h val="0.70456557422887411"/>
        </c:manualLayout>
      </c:layout>
      <c:barChart>
        <c:barDir val="col"/>
        <c:grouping val="clustered"/>
        <c:varyColors val="0"/>
        <c:ser>
          <c:idx val="0"/>
          <c:order val="0"/>
          <c:tx>
            <c:strRef>
              <c:f>'12 categories'!$B$11</c:f>
              <c:strCache>
                <c:ptCount val="1"/>
                <c:pt idx="0">
                  <c:v>Sample A</c:v>
                </c:pt>
              </c:strCache>
            </c:strRef>
          </c:tx>
          <c:spPr>
            <a:solidFill>
              <a:schemeClr val="accent3">
                <a:shade val="76000"/>
              </a:schemeClr>
            </a:solidFill>
            <a:ln>
              <a:solidFill>
                <a:schemeClr val="tx1"/>
              </a:solidFill>
            </a:ln>
            <a:effectLst/>
          </c:spPr>
          <c:invertIfNegative val="0"/>
          <c:cat>
            <c:strRef>
              <c:f>'12 categories'!$T$10:$AE$10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'12 categories'!$T$11:$AE$11</c:f>
              <c:numCache>
                <c:formatCode>0.00</c:formatCode>
                <c:ptCount val="12"/>
                <c:pt idx="0">
                  <c:v>1.7391304347826086</c:v>
                </c:pt>
                <c:pt idx="1">
                  <c:v>4.3478260869565215</c:v>
                </c:pt>
                <c:pt idx="2">
                  <c:v>3.4782608695652173</c:v>
                </c:pt>
                <c:pt idx="3">
                  <c:v>7.8260869565217401</c:v>
                </c:pt>
                <c:pt idx="4">
                  <c:v>8.695652173913043</c:v>
                </c:pt>
                <c:pt idx="5">
                  <c:v>13.043478260869565</c:v>
                </c:pt>
                <c:pt idx="6">
                  <c:v>18.260869565217391</c:v>
                </c:pt>
                <c:pt idx="7">
                  <c:v>19.130434782608695</c:v>
                </c:pt>
                <c:pt idx="8">
                  <c:v>10.434782608695652</c:v>
                </c:pt>
                <c:pt idx="9">
                  <c:v>6.9565217391304346</c:v>
                </c:pt>
                <c:pt idx="10">
                  <c:v>4.3478260869565215</c:v>
                </c:pt>
                <c:pt idx="11">
                  <c:v>1.7391304347826086</c:v>
                </c:pt>
              </c:numCache>
            </c:numRef>
          </c:val>
          <c:extLst xmlns:c16r2="http://schemas.microsoft.com/office/drawing/2015/06/chart">
            <c:ext xmlns:c16="http://schemas.microsoft.com/office/drawing/2014/chart" uri="{C3380CC4-5D6E-409C-BE32-E72D297353CC}">
              <c16:uniqueId val="{00000000-D272-4DA9-90BC-28D57D81B7CE}"/>
            </c:ext>
          </c:extLst>
        </c:ser>
        <c:ser>
          <c:idx val="1"/>
          <c:order val="1"/>
          <c:tx>
            <c:strRef>
              <c:f>'12 categories'!$B$12</c:f>
              <c:strCache>
                <c:ptCount val="1"/>
                <c:pt idx="0">
                  <c:v>Sample B</c:v>
                </c:pt>
              </c:strCache>
            </c:strRef>
          </c:tx>
          <c:spPr>
            <a:solidFill>
              <a:schemeClr val="accent3">
                <a:tint val="77000"/>
              </a:schemeClr>
            </a:solidFill>
            <a:ln>
              <a:solidFill>
                <a:schemeClr val="tx1"/>
              </a:solidFill>
            </a:ln>
            <a:effectLst/>
          </c:spPr>
          <c:invertIfNegative val="0"/>
          <c:cat>
            <c:strRef>
              <c:f>'12 categories'!$T$10:$AE$10</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'12 categories'!$T$12:$AE$12</c:f>
              <c:numCache>
                <c:formatCode>0.00</c:formatCode>
                <c:ptCount val="12"/>
                <c:pt idx="0">
                  <c:v>0</c:v>
                </c:pt>
                <c:pt idx="1">
                  <c:v>4.9019607843137258</c:v>
                </c:pt>
                <c:pt idx="2">
                  <c:v>6.8627450980392162</c:v>
                </c:pt>
                <c:pt idx="3">
                  <c:v>14.705882352941178</c:v>
                </c:pt>
                <c:pt idx="4">
                  <c:v>17.647058823529413</c:v>
                </c:pt>
                <c:pt idx="5">
                  <c:v>23.52941176470588</c:v>
                </c:pt>
                <c:pt idx="6">
                  <c:v>16.666666666666664</c:v>
                </c:pt>
                <c:pt idx="7">
                  <c:v>7.8431372549019605</c:v>
                </c:pt>
                <c:pt idx="8">
                  <c:v>4.9019607843137258</c:v>
                </c:pt>
                <c:pt idx="9">
                  <c:v>0.98039215686274506</c:v>
                </c:pt>
                <c:pt idx="10">
                  <c:v>1.9607843137254901</c:v>
                </c:pt>
                <c:pt idx="11">
                  <c:v>0</c:v>
                </c:pt>
              </c:numCache>
            </c:numRef>
          </c:val>
          <c:extLst xmlns:c16r2="http://schemas.microsoft.com/office/drawing/2015/06/chart">
            <c:ext xmlns:c16="http://schemas.microsoft.com/office/drawing/2014/chart" uri="{C3380CC4-5D6E-409C-BE32-E72D297353CC}">
              <c16:uniqueId val="{00000001-D272-4DA9-90BC-28D57D81B7CE}"/>
            </c:ext>
          </c:extLst>
        </c:ser>
        <c:dLbls>
          <c:showLegendKey val="0"/>
          <c:showVal val="0"/>
          <c:showCatName val="0"/>
          <c:showSerName val="0"/>
          <c:showPercent val="0"/>
          <c:showBubbleSize val="0"/>
        </c:dLbls>
        <c:gapWidth val="219"/>
        <c:overlap val="-27"/>
        <c:axId val="98662272"/>
        <c:axId val="98663808"/>
      </c:barChart>
      <c:catAx>
        <c:axId val="9866227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663808"/>
        <c:crosses val="autoZero"/>
        <c:auto val="1"/>
        <c:lblAlgn val="ctr"/>
        <c:lblOffset val="100"/>
        <c:noMultiLvlLbl val="0"/>
      </c:catAx>
      <c:valAx>
        <c:axId val="98663808"/>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Percentage</a:t>
                </a:r>
              </a:p>
            </c:rich>
          </c:tx>
          <c:overlay val="0"/>
          <c:spPr>
            <a:noFill/>
            <a:ln>
              <a:noFill/>
            </a:ln>
            <a:effectLst/>
          </c:sp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662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6412056730690563"/>
          <c:y val="7.7892325315005728E-2"/>
          <c:w val="0.79591575186931052"/>
          <c:h val="0.56162855931668343"/>
        </c:manualLayout>
      </c:layout>
      <c:barChart>
        <c:barDir val="col"/>
        <c:grouping val="clustered"/>
        <c:varyColors val="0"/>
        <c:ser>
          <c:idx val="0"/>
          <c:order val="0"/>
          <c:tx>
            <c:strRef>
              <c:f>'4 categories'!$B$7</c:f>
              <c:strCache>
                <c:ptCount val="1"/>
                <c:pt idx="0">
                  <c:v>Gosport</c:v>
                </c:pt>
              </c:strCache>
            </c:strRef>
          </c:tx>
          <c:spPr>
            <a:solidFill>
              <a:schemeClr val="accent3">
                <a:shade val="76000"/>
              </a:schemeClr>
            </a:solidFill>
            <a:ln>
              <a:solidFill>
                <a:schemeClr val="tx1"/>
              </a:solidFill>
            </a:ln>
            <a:effectLst/>
          </c:spPr>
          <c:invertIfNegative val="0"/>
          <c:cat>
            <c:strRef>
              <c:f>'4 categories'!$D$6:$G$6</c:f>
              <c:strCache>
                <c:ptCount val="4"/>
                <c:pt idx="0">
                  <c:v>Group 1-3</c:v>
                </c:pt>
                <c:pt idx="1">
                  <c:v>Group 4-5</c:v>
                </c:pt>
                <c:pt idx="2">
                  <c:v>Group 6-7-</c:v>
                </c:pt>
                <c:pt idx="3">
                  <c:v>Group 8-9</c:v>
                </c:pt>
              </c:strCache>
            </c:strRef>
          </c:cat>
          <c:val>
            <c:numRef>
              <c:f>'4 categories'!$D$7:$G$7</c:f>
              <c:numCache>
                <c:formatCode>General</c:formatCode>
                <c:ptCount val="4"/>
                <c:pt idx="0">
                  <c:v>13</c:v>
                </c:pt>
                <c:pt idx="1">
                  <c:v>28</c:v>
                </c:pt>
                <c:pt idx="2">
                  <c:v>119</c:v>
                </c:pt>
                <c:pt idx="3">
                  <c:v>11</c:v>
                </c:pt>
              </c:numCache>
            </c:numRef>
          </c:val>
          <c:extLst xmlns:c16r2="http://schemas.microsoft.com/office/drawing/2015/06/chart">
            <c:ext xmlns:c16="http://schemas.microsoft.com/office/drawing/2014/chart" uri="{C3380CC4-5D6E-409C-BE32-E72D297353CC}">
              <c16:uniqueId val="{00000000-B007-4D36-81DF-D9A8C423608F}"/>
            </c:ext>
          </c:extLst>
        </c:ser>
        <c:ser>
          <c:idx val="1"/>
          <c:order val="1"/>
          <c:tx>
            <c:strRef>
              <c:f>'4 categories'!$B$8</c:f>
              <c:strCache>
                <c:ptCount val="1"/>
                <c:pt idx="0">
                  <c:v>Fareham</c:v>
                </c:pt>
              </c:strCache>
            </c:strRef>
          </c:tx>
          <c:spPr>
            <a:solidFill>
              <a:schemeClr val="accent3">
                <a:tint val="77000"/>
              </a:schemeClr>
            </a:solidFill>
            <a:ln>
              <a:solidFill>
                <a:schemeClr val="tx1"/>
              </a:solidFill>
            </a:ln>
            <a:effectLst/>
          </c:spPr>
          <c:invertIfNegative val="0"/>
          <c:cat>
            <c:strRef>
              <c:f>'4 categories'!$D$6:$G$6</c:f>
              <c:strCache>
                <c:ptCount val="4"/>
                <c:pt idx="0">
                  <c:v>Group 1-3</c:v>
                </c:pt>
                <c:pt idx="1">
                  <c:v>Group 4-5</c:v>
                </c:pt>
                <c:pt idx="2">
                  <c:v>Group 6-7-</c:v>
                </c:pt>
                <c:pt idx="3">
                  <c:v>Group 8-9</c:v>
                </c:pt>
              </c:strCache>
            </c:strRef>
          </c:cat>
          <c:val>
            <c:numRef>
              <c:f>'4 categories'!$D$8:$G$8</c:f>
              <c:numCache>
                <c:formatCode>General</c:formatCode>
                <c:ptCount val="4"/>
                <c:pt idx="0">
                  <c:v>16</c:v>
                </c:pt>
                <c:pt idx="1">
                  <c:v>25</c:v>
                </c:pt>
                <c:pt idx="2">
                  <c:v>36</c:v>
                </c:pt>
                <c:pt idx="3">
                  <c:v>0</c:v>
                </c:pt>
              </c:numCache>
            </c:numRef>
          </c:val>
          <c:extLst xmlns:c16r2="http://schemas.microsoft.com/office/drawing/2015/06/chart">
            <c:ext xmlns:c16="http://schemas.microsoft.com/office/drawing/2014/chart" uri="{C3380CC4-5D6E-409C-BE32-E72D297353CC}">
              <c16:uniqueId val="{00000001-B007-4D36-81DF-D9A8C423608F}"/>
            </c:ext>
          </c:extLst>
        </c:ser>
        <c:dLbls>
          <c:showLegendKey val="0"/>
          <c:showVal val="0"/>
          <c:showCatName val="0"/>
          <c:showSerName val="0"/>
          <c:showPercent val="0"/>
          <c:showBubbleSize val="0"/>
        </c:dLbls>
        <c:gapWidth val="219"/>
        <c:overlap val="-27"/>
        <c:axId val="99665024"/>
        <c:axId val="99666560"/>
      </c:barChart>
      <c:catAx>
        <c:axId val="9966502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666560"/>
        <c:crosses val="autoZero"/>
        <c:auto val="1"/>
        <c:lblAlgn val="ctr"/>
        <c:lblOffset val="100"/>
        <c:noMultiLvlLbl val="0"/>
      </c:catAx>
      <c:valAx>
        <c:axId val="99666560"/>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Frequency</a:t>
                </a:r>
              </a:p>
            </c:rich>
          </c:tx>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665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508001016002"/>
          <c:y val="9.0548904607798478E-2"/>
          <c:w val="0.7905226766009088"/>
          <c:h val="0.55325630259590164"/>
        </c:manualLayout>
      </c:layout>
      <c:lineChart>
        <c:grouping val="standard"/>
        <c:varyColors val="0"/>
        <c:ser>
          <c:idx val="0"/>
          <c:order val="0"/>
          <c:tx>
            <c:strRef>
              <c:f>'4 categories'!$R$13</c:f>
              <c:strCache>
                <c:ptCount val="1"/>
                <c:pt idx="0">
                  <c:v>Gosport</c:v>
                </c:pt>
              </c:strCache>
            </c:strRef>
          </c:tx>
          <c:spPr>
            <a:ln w="28575" cap="rnd">
              <a:solidFill>
                <a:schemeClr val="tx1"/>
              </a:solidFill>
              <a:round/>
            </a:ln>
            <a:effectLst/>
          </c:spPr>
          <c:marker>
            <c:symbol val="none"/>
          </c:marker>
          <c:cat>
            <c:strRef>
              <c:f>'4 categories'!$S$6:$V$6</c:f>
              <c:strCache>
                <c:ptCount val="4"/>
                <c:pt idx="0">
                  <c:v>Group 1-3</c:v>
                </c:pt>
                <c:pt idx="1">
                  <c:v>Group 4-5</c:v>
                </c:pt>
                <c:pt idx="2">
                  <c:v>Group 6-7-</c:v>
                </c:pt>
                <c:pt idx="3">
                  <c:v>Group 8-9</c:v>
                </c:pt>
              </c:strCache>
            </c:strRef>
          </c:cat>
          <c:val>
            <c:numRef>
              <c:f>'4 categories'!$S$13:$V$13</c:f>
              <c:numCache>
                <c:formatCode>General</c:formatCode>
                <c:ptCount val="4"/>
                <c:pt idx="0">
                  <c:v>7.6023391812865493E-2</c:v>
                </c:pt>
                <c:pt idx="1">
                  <c:v>0.23976608187134502</c:v>
                </c:pt>
                <c:pt idx="2">
                  <c:v>0.93567251461988299</c:v>
                </c:pt>
                <c:pt idx="3">
                  <c:v>1</c:v>
                </c:pt>
              </c:numCache>
            </c:numRef>
          </c:val>
          <c:smooth val="0"/>
          <c:extLst xmlns:c16r2="http://schemas.microsoft.com/office/drawing/2015/06/chart">
            <c:ext xmlns:c16="http://schemas.microsoft.com/office/drawing/2014/chart" uri="{C3380CC4-5D6E-409C-BE32-E72D297353CC}">
              <c16:uniqueId val="{00000000-7AC0-4ADC-B22B-1AF76B1DB524}"/>
            </c:ext>
          </c:extLst>
        </c:ser>
        <c:ser>
          <c:idx val="1"/>
          <c:order val="1"/>
          <c:tx>
            <c:strRef>
              <c:f>'4 categories'!$R$14</c:f>
              <c:strCache>
                <c:ptCount val="1"/>
                <c:pt idx="0">
                  <c:v>Fareham</c:v>
                </c:pt>
              </c:strCache>
            </c:strRef>
          </c:tx>
          <c:spPr>
            <a:ln w="28575" cap="rnd">
              <a:solidFill>
                <a:schemeClr val="tx1"/>
              </a:solidFill>
              <a:prstDash val="sysDash"/>
              <a:round/>
            </a:ln>
            <a:effectLst/>
          </c:spPr>
          <c:marker>
            <c:symbol val="none"/>
          </c:marker>
          <c:cat>
            <c:strRef>
              <c:f>'4 categories'!$S$6:$V$6</c:f>
              <c:strCache>
                <c:ptCount val="4"/>
                <c:pt idx="0">
                  <c:v>Group 1-3</c:v>
                </c:pt>
                <c:pt idx="1">
                  <c:v>Group 4-5</c:v>
                </c:pt>
                <c:pt idx="2">
                  <c:v>Group 6-7-</c:v>
                </c:pt>
                <c:pt idx="3">
                  <c:v>Group 8-9</c:v>
                </c:pt>
              </c:strCache>
            </c:strRef>
          </c:cat>
          <c:val>
            <c:numRef>
              <c:f>'4 categories'!$S$14:$V$14</c:f>
              <c:numCache>
                <c:formatCode>General</c:formatCode>
                <c:ptCount val="4"/>
                <c:pt idx="0">
                  <c:v>0.20779220779220781</c:v>
                </c:pt>
                <c:pt idx="1">
                  <c:v>0.53246753246753242</c:v>
                </c:pt>
                <c:pt idx="2">
                  <c:v>1</c:v>
                </c:pt>
                <c:pt idx="3">
                  <c:v>1</c:v>
                </c:pt>
              </c:numCache>
            </c:numRef>
          </c:val>
          <c:smooth val="0"/>
          <c:extLst xmlns:c16r2="http://schemas.microsoft.com/office/drawing/2015/06/chart">
            <c:ext xmlns:c16="http://schemas.microsoft.com/office/drawing/2014/chart" uri="{C3380CC4-5D6E-409C-BE32-E72D297353CC}">
              <c16:uniqueId val="{00000001-7AC0-4ADC-B22B-1AF76B1DB524}"/>
            </c:ext>
          </c:extLst>
        </c:ser>
        <c:dLbls>
          <c:showLegendKey val="0"/>
          <c:showVal val="0"/>
          <c:showCatName val="0"/>
          <c:showSerName val="0"/>
          <c:showPercent val="0"/>
          <c:showBubbleSize val="0"/>
        </c:dLbls>
        <c:marker val="1"/>
        <c:smooth val="0"/>
        <c:axId val="99700736"/>
        <c:axId val="99702272"/>
      </c:lineChart>
      <c:catAx>
        <c:axId val="9970073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02272"/>
        <c:crosses val="autoZero"/>
        <c:auto val="1"/>
        <c:lblAlgn val="ctr"/>
        <c:lblOffset val="100"/>
        <c:noMultiLvlLbl val="0"/>
      </c:catAx>
      <c:valAx>
        <c:axId val="99702272"/>
        <c:scaling>
          <c:orientation val="minMax"/>
          <c:max val="1"/>
          <c:min val="0"/>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Cumulative proportion</a:t>
                </a:r>
              </a:p>
            </c:rich>
          </c:tx>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0073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6412056730690563"/>
          <c:y val="7.7892325315005728E-2"/>
          <c:w val="0.79591575186931052"/>
          <c:h val="0.56162855931668343"/>
        </c:manualLayout>
      </c:layout>
      <c:barChart>
        <c:barDir val="col"/>
        <c:grouping val="clustered"/>
        <c:varyColors val="0"/>
        <c:ser>
          <c:idx val="0"/>
          <c:order val="0"/>
          <c:tx>
            <c:strRef>
              <c:f>'4 categories'!$B$7</c:f>
              <c:strCache>
                <c:ptCount val="1"/>
                <c:pt idx="0">
                  <c:v>Gosport</c:v>
                </c:pt>
              </c:strCache>
            </c:strRef>
          </c:tx>
          <c:spPr>
            <a:solidFill>
              <a:schemeClr val="accent3">
                <a:shade val="76000"/>
              </a:schemeClr>
            </a:solidFill>
            <a:ln>
              <a:solidFill>
                <a:schemeClr val="tx1"/>
              </a:solidFill>
            </a:ln>
            <a:effectLst/>
          </c:spPr>
          <c:invertIfNegative val="0"/>
          <c:cat>
            <c:strRef>
              <c:f>'4 categories'!$L$6:$O$6</c:f>
              <c:strCache>
                <c:ptCount val="4"/>
                <c:pt idx="0">
                  <c:v>Group 1-3</c:v>
                </c:pt>
                <c:pt idx="1">
                  <c:v>Group 4-5</c:v>
                </c:pt>
                <c:pt idx="2">
                  <c:v>Group 6-7-</c:v>
                </c:pt>
                <c:pt idx="3">
                  <c:v>Group 8-9</c:v>
                </c:pt>
              </c:strCache>
            </c:strRef>
          </c:cat>
          <c:val>
            <c:numRef>
              <c:f>'4 categories'!$L$7:$O$7</c:f>
              <c:numCache>
                <c:formatCode>0.00</c:formatCode>
                <c:ptCount val="4"/>
                <c:pt idx="0">
                  <c:v>7.6023391812865491</c:v>
                </c:pt>
                <c:pt idx="1">
                  <c:v>16.374269005847953</c:v>
                </c:pt>
                <c:pt idx="2">
                  <c:v>69.590643274853804</c:v>
                </c:pt>
                <c:pt idx="3">
                  <c:v>6.4327485380116958</c:v>
                </c:pt>
              </c:numCache>
            </c:numRef>
          </c:val>
          <c:extLst xmlns:c16r2="http://schemas.microsoft.com/office/drawing/2015/06/chart">
            <c:ext xmlns:c16="http://schemas.microsoft.com/office/drawing/2014/chart" uri="{C3380CC4-5D6E-409C-BE32-E72D297353CC}">
              <c16:uniqueId val="{00000000-101D-4652-AE82-A4A077519F8F}"/>
            </c:ext>
          </c:extLst>
        </c:ser>
        <c:ser>
          <c:idx val="1"/>
          <c:order val="1"/>
          <c:tx>
            <c:strRef>
              <c:f>'4 categories'!$B$8</c:f>
              <c:strCache>
                <c:ptCount val="1"/>
                <c:pt idx="0">
                  <c:v>Fareham</c:v>
                </c:pt>
              </c:strCache>
            </c:strRef>
          </c:tx>
          <c:spPr>
            <a:solidFill>
              <a:schemeClr val="accent3">
                <a:tint val="77000"/>
              </a:schemeClr>
            </a:solidFill>
            <a:ln>
              <a:solidFill>
                <a:schemeClr val="tx1"/>
              </a:solidFill>
            </a:ln>
            <a:effectLst/>
          </c:spPr>
          <c:invertIfNegative val="0"/>
          <c:cat>
            <c:strRef>
              <c:f>'4 categories'!$L$6:$O$6</c:f>
              <c:strCache>
                <c:ptCount val="4"/>
                <c:pt idx="0">
                  <c:v>Group 1-3</c:v>
                </c:pt>
                <c:pt idx="1">
                  <c:v>Group 4-5</c:v>
                </c:pt>
                <c:pt idx="2">
                  <c:v>Group 6-7-</c:v>
                </c:pt>
                <c:pt idx="3">
                  <c:v>Group 8-9</c:v>
                </c:pt>
              </c:strCache>
            </c:strRef>
          </c:cat>
          <c:val>
            <c:numRef>
              <c:f>'4 categories'!$L$8:$O$8</c:f>
              <c:numCache>
                <c:formatCode>0.00</c:formatCode>
                <c:ptCount val="4"/>
                <c:pt idx="0">
                  <c:v>20.779220779220779</c:v>
                </c:pt>
                <c:pt idx="1">
                  <c:v>32.467532467532465</c:v>
                </c:pt>
                <c:pt idx="2">
                  <c:v>46.753246753246749</c:v>
                </c:pt>
                <c:pt idx="3">
                  <c:v>0</c:v>
                </c:pt>
              </c:numCache>
            </c:numRef>
          </c:val>
          <c:extLst xmlns:c16r2="http://schemas.microsoft.com/office/drawing/2015/06/chart">
            <c:ext xmlns:c16="http://schemas.microsoft.com/office/drawing/2014/chart" uri="{C3380CC4-5D6E-409C-BE32-E72D297353CC}">
              <c16:uniqueId val="{00000001-101D-4652-AE82-A4A077519F8F}"/>
            </c:ext>
          </c:extLst>
        </c:ser>
        <c:dLbls>
          <c:showLegendKey val="0"/>
          <c:showVal val="0"/>
          <c:showCatName val="0"/>
          <c:showSerName val="0"/>
          <c:showPercent val="0"/>
          <c:showBubbleSize val="0"/>
        </c:dLbls>
        <c:gapWidth val="219"/>
        <c:overlap val="-27"/>
        <c:axId val="99720192"/>
        <c:axId val="99726080"/>
      </c:barChart>
      <c:catAx>
        <c:axId val="9972019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26080"/>
        <c:crosses val="autoZero"/>
        <c:auto val="1"/>
        <c:lblAlgn val="ctr"/>
        <c:lblOffset val="100"/>
        <c:noMultiLvlLbl val="0"/>
      </c:catAx>
      <c:valAx>
        <c:axId val="99726080"/>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Percentage</a:t>
                </a:r>
              </a:p>
            </c:rich>
          </c:tx>
          <c:overlay val="0"/>
          <c:spPr>
            <a:noFill/>
            <a:ln>
              <a:noFill/>
            </a:ln>
            <a:effectLst/>
          </c:sp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20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4716847350602913"/>
          <c:y val="7.7892325315005728E-2"/>
          <c:w val="0.84798721898893059"/>
          <c:h val="0.62248441793645448"/>
        </c:manualLayout>
      </c:layout>
      <c:barChart>
        <c:barDir val="col"/>
        <c:grouping val="clustered"/>
        <c:varyColors val="0"/>
        <c:ser>
          <c:idx val="0"/>
          <c:order val="0"/>
          <c:tx>
            <c:strRef>
              <c:f>'5 categories'!$B$8</c:f>
              <c:strCache>
                <c:ptCount val="1"/>
                <c:pt idx="0">
                  <c:v>Gosport</c:v>
                </c:pt>
              </c:strCache>
            </c:strRef>
          </c:tx>
          <c:spPr>
            <a:solidFill>
              <a:schemeClr val="accent3">
                <a:shade val="76000"/>
              </a:schemeClr>
            </a:solidFill>
            <a:ln>
              <a:solidFill>
                <a:schemeClr val="tx1"/>
              </a:solidFill>
            </a:ln>
            <a:effectLst/>
          </c:spPr>
          <c:invertIfNegative val="0"/>
          <c:cat>
            <c:strRef>
              <c:f>'5 categories'!$D$7:$H$7</c:f>
              <c:strCache>
                <c:ptCount val="5"/>
                <c:pt idx="0">
                  <c:v>Very inexpensive</c:v>
                </c:pt>
                <c:pt idx="1">
                  <c:v>Inexpensive</c:v>
                </c:pt>
                <c:pt idx="2">
                  <c:v>Affordable</c:v>
                </c:pt>
                <c:pt idx="3">
                  <c:v>Expensive</c:v>
                </c:pt>
                <c:pt idx="4">
                  <c:v>Very expensive</c:v>
                </c:pt>
              </c:strCache>
            </c:strRef>
          </c:cat>
          <c:val>
            <c:numRef>
              <c:f>'5 categories'!$D$8:$H$8</c:f>
              <c:numCache>
                <c:formatCode>General</c:formatCode>
                <c:ptCount val="5"/>
                <c:pt idx="0">
                  <c:v>2</c:v>
                </c:pt>
                <c:pt idx="1">
                  <c:v>13</c:v>
                </c:pt>
                <c:pt idx="2">
                  <c:v>106</c:v>
                </c:pt>
                <c:pt idx="3">
                  <c:v>49</c:v>
                </c:pt>
                <c:pt idx="4">
                  <c:v>5</c:v>
                </c:pt>
              </c:numCache>
            </c:numRef>
          </c:val>
          <c:extLst xmlns:c16r2="http://schemas.microsoft.com/office/drawing/2015/06/chart">
            <c:ext xmlns:c16="http://schemas.microsoft.com/office/drawing/2014/chart" uri="{C3380CC4-5D6E-409C-BE32-E72D297353CC}">
              <c16:uniqueId val="{00000000-6432-4E22-8365-6B266DCB569E}"/>
            </c:ext>
          </c:extLst>
        </c:ser>
        <c:ser>
          <c:idx val="1"/>
          <c:order val="1"/>
          <c:tx>
            <c:strRef>
              <c:f>'5 categories'!$B$9</c:f>
              <c:strCache>
                <c:ptCount val="1"/>
                <c:pt idx="0">
                  <c:v>Fareham</c:v>
                </c:pt>
              </c:strCache>
            </c:strRef>
          </c:tx>
          <c:spPr>
            <a:solidFill>
              <a:schemeClr val="accent3">
                <a:tint val="77000"/>
              </a:schemeClr>
            </a:solidFill>
            <a:ln>
              <a:solidFill>
                <a:schemeClr val="tx1"/>
              </a:solidFill>
            </a:ln>
            <a:effectLst/>
          </c:spPr>
          <c:invertIfNegative val="0"/>
          <c:cat>
            <c:strRef>
              <c:f>'5 categories'!$D$7:$H$7</c:f>
              <c:strCache>
                <c:ptCount val="5"/>
                <c:pt idx="0">
                  <c:v>Very inexpensive</c:v>
                </c:pt>
                <c:pt idx="1">
                  <c:v>Inexpensive</c:v>
                </c:pt>
                <c:pt idx="2">
                  <c:v>Affordable</c:v>
                </c:pt>
                <c:pt idx="3">
                  <c:v>Expensive</c:v>
                </c:pt>
                <c:pt idx="4">
                  <c:v>Very expensive</c:v>
                </c:pt>
              </c:strCache>
            </c:strRef>
          </c:cat>
          <c:val>
            <c:numRef>
              <c:f>'5 categories'!$D$9:$H$9</c:f>
              <c:numCache>
                <c:formatCode>General</c:formatCode>
                <c:ptCount val="5"/>
                <c:pt idx="0">
                  <c:v>0</c:v>
                </c:pt>
                <c:pt idx="1">
                  <c:v>2</c:v>
                </c:pt>
                <c:pt idx="2">
                  <c:v>28</c:v>
                </c:pt>
                <c:pt idx="3">
                  <c:v>42</c:v>
                </c:pt>
                <c:pt idx="4">
                  <c:v>8</c:v>
                </c:pt>
              </c:numCache>
            </c:numRef>
          </c:val>
          <c:extLst xmlns:c16r2="http://schemas.microsoft.com/office/drawing/2015/06/chart">
            <c:ext xmlns:c16="http://schemas.microsoft.com/office/drawing/2014/chart" uri="{C3380CC4-5D6E-409C-BE32-E72D297353CC}">
              <c16:uniqueId val="{00000001-6432-4E22-8365-6B266DCB569E}"/>
            </c:ext>
          </c:extLst>
        </c:ser>
        <c:dLbls>
          <c:showLegendKey val="0"/>
          <c:showVal val="0"/>
          <c:showCatName val="0"/>
          <c:showSerName val="0"/>
          <c:showPercent val="0"/>
          <c:showBubbleSize val="0"/>
        </c:dLbls>
        <c:gapWidth val="219"/>
        <c:overlap val="-27"/>
        <c:axId val="107807104"/>
        <c:axId val="107808640"/>
      </c:barChart>
      <c:catAx>
        <c:axId val="10780710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07808640"/>
        <c:crosses val="autoZero"/>
        <c:auto val="1"/>
        <c:lblAlgn val="ctr"/>
        <c:lblOffset val="100"/>
        <c:noMultiLvlLbl val="0"/>
      </c:catAx>
      <c:valAx>
        <c:axId val="107808640"/>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Frequency</a:t>
                </a:r>
              </a:p>
            </c:rich>
          </c:tx>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07807104"/>
        <c:crosses val="autoZero"/>
        <c:crossBetween val="between"/>
      </c:valAx>
      <c:spPr>
        <a:noFill/>
        <a:ln>
          <a:noFill/>
        </a:ln>
        <a:effectLst/>
      </c:spPr>
    </c:plotArea>
    <c:legend>
      <c:legendPos val="b"/>
      <c:layout>
        <c:manualLayout>
          <c:xMode val="edge"/>
          <c:yMode val="edge"/>
          <c:x val="0.34397291642892469"/>
          <c:y val="0.89959116663334937"/>
          <c:w val="0.48012294115409487"/>
          <c:h val="7.7320128798333193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sz="1000">
          <a:solidFill>
            <a:sysClr val="windowText" lastClr="000000"/>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508001016002"/>
          <c:y val="9.0548904607798478E-2"/>
          <c:w val="0.7905226766009088"/>
          <c:h val="0.59520966948756904"/>
        </c:manualLayout>
      </c:layout>
      <c:lineChart>
        <c:grouping val="standard"/>
        <c:varyColors val="0"/>
        <c:ser>
          <c:idx val="0"/>
          <c:order val="0"/>
          <c:tx>
            <c:strRef>
              <c:f>'5 categories'!$V$14</c:f>
              <c:strCache>
                <c:ptCount val="1"/>
                <c:pt idx="0">
                  <c:v>Gosport</c:v>
                </c:pt>
              </c:strCache>
            </c:strRef>
          </c:tx>
          <c:spPr>
            <a:ln w="28575" cap="rnd">
              <a:solidFill>
                <a:schemeClr val="tx1"/>
              </a:solidFill>
              <a:round/>
            </a:ln>
            <a:effectLst/>
          </c:spPr>
          <c:marker>
            <c:symbol val="none"/>
          </c:marker>
          <c:cat>
            <c:strRef>
              <c:f>'5 categories'!$W$7:$AA$7</c:f>
              <c:strCache>
                <c:ptCount val="5"/>
                <c:pt idx="0">
                  <c:v>Very inexpensive</c:v>
                </c:pt>
                <c:pt idx="1">
                  <c:v>Inexpensive</c:v>
                </c:pt>
                <c:pt idx="2">
                  <c:v>Affordable</c:v>
                </c:pt>
                <c:pt idx="3">
                  <c:v>Expensive</c:v>
                </c:pt>
                <c:pt idx="4">
                  <c:v>Very expensive</c:v>
                </c:pt>
              </c:strCache>
            </c:strRef>
          </c:cat>
          <c:val>
            <c:numRef>
              <c:f>'5 categories'!$W$14:$AA$14</c:f>
              <c:numCache>
                <c:formatCode>General</c:formatCode>
                <c:ptCount val="5"/>
                <c:pt idx="0">
                  <c:v>1.1428571428571429E-2</c:v>
                </c:pt>
                <c:pt idx="1">
                  <c:v>8.5714285714285715E-2</c:v>
                </c:pt>
                <c:pt idx="2">
                  <c:v>0.69142857142857139</c:v>
                </c:pt>
                <c:pt idx="3">
                  <c:v>0.97142857142857142</c:v>
                </c:pt>
                <c:pt idx="4">
                  <c:v>1</c:v>
                </c:pt>
              </c:numCache>
            </c:numRef>
          </c:val>
          <c:smooth val="0"/>
          <c:extLst xmlns:c16r2="http://schemas.microsoft.com/office/drawing/2015/06/chart">
            <c:ext xmlns:c16="http://schemas.microsoft.com/office/drawing/2014/chart" uri="{C3380CC4-5D6E-409C-BE32-E72D297353CC}">
              <c16:uniqueId val="{00000000-ACEE-4F05-B603-D0D9AF9B7BF8}"/>
            </c:ext>
          </c:extLst>
        </c:ser>
        <c:ser>
          <c:idx val="1"/>
          <c:order val="1"/>
          <c:tx>
            <c:strRef>
              <c:f>'5 categories'!$V$15</c:f>
              <c:strCache>
                <c:ptCount val="1"/>
                <c:pt idx="0">
                  <c:v>Fareham</c:v>
                </c:pt>
              </c:strCache>
            </c:strRef>
          </c:tx>
          <c:spPr>
            <a:ln w="28575" cap="rnd">
              <a:solidFill>
                <a:schemeClr val="tx1"/>
              </a:solidFill>
              <a:prstDash val="sysDash"/>
              <a:round/>
            </a:ln>
            <a:effectLst/>
          </c:spPr>
          <c:marker>
            <c:symbol val="none"/>
          </c:marker>
          <c:cat>
            <c:strRef>
              <c:f>'5 categories'!$W$7:$AA$7</c:f>
              <c:strCache>
                <c:ptCount val="5"/>
                <c:pt idx="0">
                  <c:v>Very inexpensive</c:v>
                </c:pt>
                <c:pt idx="1">
                  <c:v>Inexpensive</c:v>
                </c:pt>
                <c:pt idx="2">
                  <c:v>Affordable</c:v>
                </c:pt>
                <c:pt idx="3">
                  <c:v>Expensive</c:v>
                </c:pt>
                <c:pt idx="4">
                  <c:v>Very expensive</c:v>
                </c:pt>
              </c:strCache>
            </c:strRef>
          </c:cat>
          <c:val>
            <c:numRef>
              <c:f>'5 categories'!$W$15:$AA$15</c:f>
              <c:numCache>
                <c:formatCode>General</c:formatCode>
                <c:ptCount val="5"/>
                <c:pt idx="0">
                  <c:v>0</c:v>
                </c:pt>
                <c:pt idx="1">
                  <c:v>2.5000000000000001E-2</c:v>
                </c:pt>
                <c:pt idx="2">
                  <c:v>0.375</c:v>
                </c:pt>
                <c:pt idx="3">
                  <c:v>0.9</c:v>
                </c:pt>
                <c:pt idx="4">
                  <c:v>1</c:v>
                </c:pt>
              </c:numCache>
            </c:numRef>
          </c:val>
          <c:smooth val="0"/>
          <c:extLst xmlns:c16r2="http://schemas.microsoft.com/office/drawing/2015/06/chart">
            <c:ext xmlns:c16="http://schemas.microsoft.com/office/drawing/2014/chart" uri="{C3380CC4-5D6E-409C-BE32-E72D297353CC}">
              <c16:uniqueId val="{00000001-ACEE-4F05-B603-D0D9AF9B7BF8}"/>
            </c:ext>
          </c:extLst>
        </c:ser>
        <c:dLbls>
          <c:showLegendKey val="0"/>
          <c:showVal val="0"/>
          <c:showCatName val="0"/>
          <c:showSerName val="0"/>
          <c:showPercent val="0"/>
          <c:showBubbleSize val="0"/>
        </c:dLbls>
        <c:marker val="1"/>
        <c:smooth val="0"/>
        <c:axId val="107838848"/>
        <c:axId val="107840640"/>
      </c:lineChart>
      <c:catAx>
        <c:axId val="10783884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07840640"/>
        <c:crosses val="autoZero"/>
        <c:auto val="1"/>
        <c:lblAlgn val="ctr"/>
        <c:lblOffset val="100"/>
        <c:noMultiLvlLbl val="0"/>
      </c:catAx>
      <c:valAx>
        <c:axId val="107840640"/>
        <c:scaling>
          <c:orientation val="minMax"/>
          <c:max val="1"/>
          <c:min val="0"/>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Cumulative proportion</a:t>
                </a:r>
              </a:p>
            </c:rich>
          </c:tx>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07838848"/>
        <c:crosses val="autoZero"/>
        <c:crossBetween val="between"/>
        <c:majorUnit val="0.2"/>
      </c:valAx>
      <c:spPr>
        <a:noFill/>
        <a:ln>
          <a:noFill/>
        </a:ln>
        <a:effectLst/>
      </c:spPr>
    </c:plotArea>
    <c:legend>
      <c:legendPos val="b"/>
      <c:layout>
        <c:manualLayout>
          <c:xMode val="edge"/>
          <c:yMode val="edge"/>
          <c:x val="0.15925228096487937"/>
          <c:y val="0.84769875488930757"/>
          <c:w val="0.66352112235970506"/>
          <c:h val="0.14784550201055777"/>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solidFill>
            <a:sysClr val="windowText" lastClr="000000"/>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4716847350602913"/>
          <c:y val="7.7892325315005728E-2"/>
          <c:w val="0.84798721898893059"/>
          <c:h val="0.62248441793645448"/>
        </c:manualLayout>
      </c:layout>
      <c:barChart>
        <c:barDir val="col"/>
        <c:grouping val="clustered"/>
        <c:varyColors val="0"/>
        <c:ser>
          <c:idx val="0"/>
          <c:order val="0"/>
          <c:tx>
            <c:strRef>
              <c:f>'5 categories'!$B$8</c:f>
              <c:strCache>
                <c:ptCount val="1"/>
                <c:pt idx="0">
                  <c:v>Gosport</c:v>
                </c:pt>
              </c:strCache>
            </c:strRef>
          </c:tx>
          <c:spPr>
            <a:solidFill>
              <a:schemeClr val="accent3">
                <a:shade val="76000"/>
              </a:schemeClr>
            </a:solidFill>
            <a:ln>
              <a:solidFill>
                <a:schemeClr val="tx1"/>
              </a:solidFill>
            </a:ln>
            <a:effectLst/>
          </c:spPr>
          <c:invertIfNegative val="0"/>
          <c:cat>
            <c:strRef>
              <c:f>'5 categories'!$L$7:$P$7</c:f>
              <c:strCache>
                <c:ptCount val="5"/>
                <c:pt idx="0">
                  <c:v>Very inexpensive</c:v>
                </c:pt>
                <c:pt idx="1">
                  <c:v>Inexpensive</c:v>
                </c:pt>
                <c:pt idx="2">
                  <c:v>Affordable</c:v>
                </c:pt>
                <c:pt idx="3">
                  <c:v>Expensive</c:v>
                </c:pt>
                <c:pt idx="4">
                  <c:v>Very expensive</c:v>
                </c:pt>
              </c:strCache>
            </c:strRef>
          </c:cat>
          <c:val>
            <c:numRef>
              <c:f>'5 categories'!$L$8:$P$8</c:f>
              <c:numCache>
                <c:formatCode>0.00</c:formatCode>
                <c:ptCount val="5"/>
                <c:pt idx="0">
                  <c:v>1.1428571428571428</c:v>
                </c:pt>
                <c:pt idx="1">
                  <c:v>7.4285714285714288</c:v>
                </c:pt>
                <c:pt idx="2">
                  <c:v>60.571428571428577</c:v>
                </c:pt>
                <c:pt idx="3">
                  <c:v>28.000000000000004</c:v>
                </c:pt>
                <c:pt idx="4">
                  <c:v>2.8571428571428572</c:v>
                </c:pt>
              </c:numCache>
            </c:numRef>
          </c:val>
          <c:extLst xmlns:c16r2="http://schemas.microsoft.com/office/drawing/2015/06/chart">
            <c:ext xmlns:c16="http://schemas.microsoft.com/office/drawing/2014/chart" uri="{C3380CC4-5D6E-409C-BE32-E72D297353CC}">
              <c16:uniqueId val="{00000000-B1B1-4591-83EA-C149EF444432}"/>
            </c:ext>
          </c:extLst>
        </c:ser>
        <c:ser>
          <c:idx val="1"/>
          <c:order val="1"/>
          <c:tx>
            <c:strRef>
              <c:f>'5 categories'!$B$9</c:f>
              <c:strCache>
                <c:ptCount val="1"/>
                <c:pt idx="0">
                  <c:v>Fareham</c:v>
                </c:pt>
              </c:strCache>
            </c:strRef>
          </c:tx>
          <c:spPr>
            <a:solidFill>
              <a:schemeClr val="accent3">
                <a:tint val="77000"/>
              </a:schemeClr>
            </a:solidFill>
            <a:ln>
              <a:solidFill>
                <a:schemeClr val="tx1"/>
              </a:solidFill>
            </a:ln>
            <a:effectLst/>
          </c:spPr>
          <c:invertIfNegative val="0"/>
          <c:cat>
            <c:strRef>
              <c:f>'5 categories'!$L$7:$P$7</c:f>
              <c:strCache>
                <c:ptCount val="5"/>
                <c:pt idx="0">
                  <c:v>Very inexpensive</c:v>
                </c:pt>
                <c:pt idx="1">
                  <c:v>Inexpensive</c:v>
                </c:pt>
                <c:pt idx="2">
                  <c:v>Affordable</c:v>
                </c:pt>
                <c:pt idx="3">
                  <c:v>Expensive</c:v>
                </c:pt>
                <c:pt idx="4">
                  <c:v>Very expensive</c:v>
                </c:pt>
              </c:strCache>
            </c:strRef>
          </c:cat>
          <c:val>
            <c:numRef>
              <c:f>'5 categories'!$L$9:$P$9</c:f>
              <c:numCache>
                <c:formatCode>0.00</c:formatCode>
                <c:ptCount val="5"/>
                <c:pt idx="0">
                  <c:v>0</c:v>
                </c:pt>
                <c:pt idx="1">
                  <c:v>2.5</c:v>
                </c:pt>
                <c:pt idx="2">
                  <c:v>35</c:v>
                </c:pt>
                <c:pt idx="3">
                  <c:v>52.5</c:v>
                </c:pt>
                <c:pt idx="4">
                  <c:v>10</c:v>
                </c:pt>
              </c:numCache>
            </c:numRef>
          </c:val>
          <c:extLst xmlns:c16r2="http://schemas.microsoft.com/office/drawing/2015/06/chart">
            <c:ext xmlns:c16="http://schemas.microsoft.com/office/drawing/2014/chart" uri="{C3380CC4-5D6E-409C-BE32-E72D297353CC}">
              <c16:uniqueId val="{00000001-B1B1-4591-83EA-C149EF444432}"/>
            </c:ext>
          </c:extLst>
        </c:ser>
        <c:dLbls>
          <c:showLegendKey val="0"/>
          <c:showVal val="0"/>
          <c:showCatName val="0"/>
          <c:showSerName val="0"/>
          <c:showPercent val="0"/>
          <c:showBubbleSize val="0"/>
        </c:dLbls>
        <c:gapWidth val="219"/>
        <c:overlap val="-27"/>
        <c:axId val="107858944"/>
        <c:axId val="107877120"/>
      </c:barChart>
      <c:catAx>
        <c:axId val="10785894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07877120"/>
        <c:crosses val="autoZero"/>
        <c:auto val="1"/>
        <c:lblAlgn val="ctr"/>
        <c:lblOffset val="100"/>
        <c:noMultiLvlLbl val="0"/>
      </c:catAx>
      <c:valAx>
        <c:axId val="107877120"/>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Percentage</a:t>
                </a:r>
              </a:p>
            </c:rich>
          </c:tx>
          <c:overlay val="0"/>
          <c:spPr>
            <a:noFill/>
            <a:ln>
              <a:noFill/>
            </a:ln>
            <a:effectLst/>
          </c:sp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07858944"/>
        <c:crosses val="autoZero"/>
        <c:crossBetween val="between"/>
      </c:valAx>
      <c:spPr>
        <a:noFill/>
        <a:ln>
          <a:noFill/>
        </a:ln>
        <a:effectLst/>
      </c:spPr>
    </c:plotArea>
    <c:legend>
      <c:legendPos val="b"/>
      <c:layout>
        <c:manualLayout>
          <c:xMode val="edge"/>
          <c:yMode val="edge"/>
          <c:x val="0.34397291642892469"/>
          <c:y val="0.89959116663334937"/>
          <c:w val="0.48012294115409487"/>
          <c:h val="7.7320128798333193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sz="1000">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10.xml><?xml version="1.0" encoding="utf-8"?>
<cs:colorStyle xmlns:cs="http://schemas.microsoft.com/office/drawing/2012/chartStyle" xmlns:a="http://schemas.openxmlformats.org/drawingml/2006/main" meth="withinLinear" id="16">
  <a:schemeClr val="accent3"/>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 id="16">
  <a:schemeClr val="accent3"/>
</cs:colorStyle>
</file>

<file path=xl/charts/colors13.xml><?xml version="1.0" encoding="utf-8"?>
<cs:colorStyle xmlns:cs="http://schemas.microsoft.com/office/drawing/2012/chartStyle" xmlns:a="http://schemas.openxmlformats.org/drawingml/2006/main" meth="withinLinear" id="16">
  <a:schemeClr val="accent3"/>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withinLinear" id="16">
  <a:schemeClr val="accent3"/>
</cs:colorStyle>
</file>

<file path=xl/charts/colors16.xml><?xml version="1.0" encoding="utf-8"?>
<cs:colorStyle xmlns:cs="http://schemas.microsoft.com/office/drawing/2012/chartStyle" xmlns:a="http://schemas.openxmlformats.org/drawingml/2006/main" meth="withinLinear" id="16">
  <a:schemeClr val="accent3"/>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withinLinear" id="16">
  <a:schemeClr val="accent3"/>
</cs:colorStyle>
</file>

<file path=xl/charts/colors19.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withinLinear" id="16">
  <a:schemeClr val="accent3"/>
</cs:colorStyle>
</file>

<file path=xl/charts/colors22.xml><?xml version="1.0" encoding="utf-8"?>
<cs:colorStyle xmlns:cs="http://schemas.microsoft.com/office/drawing/2012/chartStyle" xmlns:a="http://schemas.openxmlformats.org/drawingml/2006/main" meth="withinLinear" id="16">
  <a:schemeClr val="accent3"/>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withinLinear" id="16">
  <a:schemeClr val="accent3"/>
</cs:colorStyle>
</file>

<file path=xl/charts/colors25.xml><?xml version="1.0" encoding="utf-8"?>
<cs:colorStyle xmlns:cs="http://schemas.microsoft.com/office/drawing/2012/chartStyle" xmlns:a="http://schemas.openxmlformats.org/drawingml/2006/main" meth="withinLinear" id="16">
  <a:schemeClr val="accent3"/>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withinLinear" id="16">
  <a:schemeClr val="accent3"/>
</cs:colorStyle>
</file>

<file path=xl/charts/colors28.xml><?xml version="1.0" encoding="utf-8"?>
<cs:colorStyle xmlns:cs="http://schemas.microsoft.com/office/drawing/2012/chartStyle" xmlns:a="http://schemas.openxmlformats.org/drawingml/2006/main" meth="withinLinear" id="16">
  <a:schemeClr val="accent3"/>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6">
  <a:schemeClr val="accent3"/>
</cs:colorStyle>
</file>

<file path=xl/charts/colors30.xml><?xml version="1.0" encoding="utf-8"?>
<cs:colorStyle xmlns:cs="http://schemas.microsoft.com/office/drawing/2012/chartStyle" xmlns:a="http://schemas.openxmlformats.org/drawingml/2006/main" meth="withinLinear" id="16">
  <a:schemeClr val="accent3"/>
</cs:colorStyle>
</file>

<file path=xl/charts/colors4.xml><?xml version="1.0" encoding="utf-8"?>
<cs:colorStyle xmlns:cs="http://schemas.microsoft.com/office/drawing/2012/chartStyle" xmlns:a="http://schemas.openxmlformats.org/drawingml/2006/main" meth="withinLinear" id="16">
  <a:schemeClr val="accent3"/>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 id="16">
  <a:schemeClr val="accent3"/>
</cs:colorStyle>
</file>

<file path=xl/charts/colors7.xml><?xml version="1.0" encoding="utf-8"?>
<cs:colorStyle xmlns:cs="http://schemas.microsoft.com/office/drawing/2012/chartStyle" xmlns:a="http://schemas.openxmlformats.org/drawingml/2006/main" meth="withinLinear" id="16">
  <a:schemeClr val="accent3"/>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10</xdr:col>
      <xdr:colOff>600075</xdr:colOff>
      <xdr:row>17</xdr:row>
      <xdr:rowOff>61912</xdr:rowOff>
    </xdr:from>
    <xdr:to>
      <xdr:col>16</xdr:col>
      <xdr:colOff>438149</xdr:colOff>
      <xdr:row>30</xdr:row>
      <xdr:rowOff>185737</xdr:rowOff>
    </xdr:to>
    <xdr:graphicFrame macro="">
      <xdr:nvGraphicFramePr>
        <xdr:cNvPr id="2" name="Chart 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238125</xdr:colOff>
      <xdr:row>17</xdr:row>
      <xdr:rowOff>42861</xdr:rowOff>
    </xdr:from>
    <xdr:to>
      <xdr:col>10</xdr:col>
      <xdr:colOff>561975</xdr:colOff>
      <xdr:row>31</xdr:row>
      <xdr:rowOff>19050</xdr:rowOff>
    </xdr:to>
    <xdr:graphicFrame macro="">
      <xdr:nvGraphicFramePr>
        <xdr:cNvPr id="3" name="Chart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31</xdr:row>
      <xdr:rowOff>180975</xdr:rowOff>
    </xdr:from>
    <xdr:to>
      <xdr:col>16</xdr:col>
      <xdr:colOff>447674</xdr:colOff>
      <xdr:row>46</xdr:row>
      <xdr:rowOff>95250</xdr:rowOff>
    </xdr:to>
    <xdr:graphicFrame macro="">
      <xdr:nvGraphicFramePr>
        <xdr:cNvPr id="6" name="Chart 5">
          <a:extLst>
            <a:ext uri="{FF2B5EF4-FFF2-40B4-BE49-F238E27FC236}">
              <a16:creationId xmlns:a16="http://schemas.microsoft.com/office/drawing/2014/main" xmlns=""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12</xdr:col>
      <xdr:colOff>133350</xdr:colOff>
      <xdr:row>10</xdr:row>
      <xdr:rowOff>95250</xdr:rowOff>
    </xdr:from>
    <xdr:ext cx="1971674" cy="781240"/>
    <xdr:sp macro="" textlink="">
      <xdr:nvSpPr>
        <xdr:cNvPr id="7" name="TextBox 6">
          <a:extLst>
            <a:ext uri="{FF2B5EF4-FFF2-40B4-BE49-F238E27FC236}">
              <a16:creationId xmlns:a16="http://schemas.microsoft.com/office/drawing/2014/main" xmlns="" id="{00000000-0008-0000-0000-000007000000}"/>
            </a:ext>
          </a:extLst>
        </xdr:cNvPr>
        <xdr:cNvSpPr txBox="1"/>
      </xdr:nvSpPr>
      <xdr:spPr>
        <a:xfrm>
          <a:off x="7239000" y="2228850"/>
          <a:ext cx="1971674" cy="78124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These are conservative estimates based on the chi square distribution, for exact critical values use tables</a:t>
          </a:r>
        </a:p>
      </xdr:txBody>
    </xdr:sp>
    <xdr:clientData/>
  </xdr:oneCellAnchor>
  <xdr:oneCellAnchor>
    <xdr:from>
      <xdr:col>0</xdr:col>
      <xdr:colOff>114300</xdr:colOff>
      <xdr:row>1</xdr:row>
      <xdr:rowOff>9525</xdr:rowOff>
    </xdr:from>
    <xdr:ext cx="5324475" cy="552450"/>
    <xdr:sp macro="" textlink="">
      <xdr:nvSpPr>
        <xdr:cNvPr id="10" name="TextBox 9">
          <a:extLst>
            <a:ext uri="{FF2B5EF4-FFF2-40B4-BE49-F238E27FC236}">
              <a16:creationId xmlns:a16="http://schemas.microsoft.com/office/drawing/2014/main" xmlns="" id="{00000000-0008-0000-0000-00000A000000}"/>
            </a:ext>
          </a:extLst>
        </xdr:cNvPr>
        <xdr:cNvSpPr txBox="1"/>
      </xdr:nvSpPr>
      <xdr:spPr>
        <a:xfrm>
          <a:off x="114300" y="200025"/>
          <a:ext cx="5324475" cy="5524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a:t>Change the names of the groups and categories and enter the counts (not percentages) in the box below. Coding values can also be changed</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11</xdr:col>
      <xdr:colOff>0</xdr:colOff>
      <xdr:row>22</xdr:row>
      <xdr:rowOff>4762</xdr:rowOff>
    </xdr:from>
    <xdr:to>
      <xdr:col>19</xdr:col>
      <xdr:colOff>419100</xdr:colOff>
      <xdr:row>36</xdr:row>
      <xdr:rowOff>9525</xdr:rowOff>
    </xdr:to>
    <xdr:graphicFrame macro="">
      <xdr:nvGraphicFramePr>
        <xdr:cNvPr id="2" name="Chart 1">
          <a:extLst>
            <a:ext uri="{FF2B5EF4-FFF2-40B4-BE49-F238E27FC236}">
              <a16:creationId xmlns:a16="http://schemas.microsoft.com/office/drawing/2014/main" xmlns=""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314325</xdr:colOff>
      <xdr:row>22</xdr:row>
      <xdr:rowOff>119061</xdr:rowOff>
    </xdr:from>
    <xdr:to>
      <xdr:col>10</xdr:col>
      <xdr:colOff>571500</xdr:colOff>
      <xdr:row>36</xdr:row>
      <xdr:rowOff>19050</xdr:rowOff>
    </xdr:to>
    <xdr:graphicFrame macro="">
      <xdr:nvGraphicFramePr>
        <xdr:cNvPr id="3" name="Chart 2">
          <a:extLst>
            <a:ext uri="{FF2B5EF4-FFF2-40B4-BE49-F238E27FC236}">
              <a16:creationId xmlns:a16="http://schemas.microsoft.com/office/drawing/2014/main" xmlns=""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400050</xdr:colOff>
      <xdr:row>0</xdr:row>
      <xdr:rowOff>19049</xdr:rowOff>
    </xdr:from>
    <xdr:ext cx="9372599" cy="781240"/>
    <xdr:sp macro="" textlink="">
      <xdr:nvSpPr>
        <xdr:cNvPr id="4" name="TextBox 3">
          <a:extLst>
            <a:ext uri="{FF2B5EF4-FFF2-40B4-BE49-F238E27FC236}">
              <a16:creationId xmlns:a16="http://schemas.microsoft.com/office/drawing/2014/main" xmlns="" id="{00000000-0008-0000-0900-000004000000}"/>
            </a:ext>
          </a:extLst>
        </xdr:cNvPr>
        <xdr:cNvSpPr txBox="1"/>
      </xdr:nvSpPr>
      <xdr:spPr>
        <a:xfrm>
          <a:off x="400050" y="19049"/>
          <a:ext cx="9372599" cy="78124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a:t>Be careful </a:t>
          </a:r>
          <a:r>
            <a:rPr lang="en-GB" sz="1100"/>
            <a:t>when you use this test to compare data from calendar</a:t>
          </a:r>
          <a:r>
            <a:rPr lang="en-GB" sz="1100" baseline="0"/>
            <a:t> months. Make sure that there is some logic to the order of the months. For example, if you have collected data from some biological system then the biological year might be a more logical order, and you may need to think about whether it makes sense to include the winter months. If you use the full calendar year then the test will assume that Dec and Jan are a long way apart, and whether that is reasonable or not depends on what your data represent and how you have collected them. </a:t>
          </a:r>
          <a:endParaRPr lang="en-GB" sz="1100"/>
        </a:p>
      </xdr:txBody>
    </xdr:sp>
    <xdr:clientData/>
  </xdr:oneCellAnchor>
  <xdr:twoCellAnchor>
    <xdr:from>
      <xdr:col>10</xdr:col>
      <xdr:colOff>590550</xdr:colOff>
      <xdr:row>37</xdr:row>
      <xdr:rowOff>28575</xdr:rowOff>
    </xdr:from>
    <xdr:to>
      <xdr:col>19</xdr:col>
      <xdr:colOff>400050</xdr:colOff>
      <xdr:row>52</xdr:row>
      <xdr:rowOff>14288</xdr:rowOff>
    </xdr:to>
    <xdr:graphicFrame macro="">
      <xdr:nvGraphicFramePr>
        <xdr:cNvPr id="6" name="Chart 5">
          <a:extLst>
            <a:ext uri="{FF2B5EF4-FFF2-40B4-BE49-F238E27FC236}">
              <a16:creationId xmlns:a16="http://schemas.microsoft.com/office/drawing/2014/main" xmlns=""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28575</xdr:colOff>
      <xdr:row>5</xdr:row>
      <xdr:rowOff>0</xdr:rowOff>
    </xdr:from>
    <xdr:ext cx="7572375" cy="552450"/>
    <xdr:sp macro="" textlink="">
      <xdr:nvSpPr>
        <xdr:cNvPr id="7" name="TextBox 6">
          <a:extLst>
            <a:ext uri="{FF2B5EF4-FFF2-40B4-BE49-F238E27FC236}">
              <a16:creationId xmlns:a16="http://schemas.microsoft.com/office/drawing/2014/main" xmlns="" id="{00000000-0008-0000-0900-000007000000}"/>
            </a:ext>
          </a:extLst>
        </xdr:cNvPr>
        <xdr:cNvSpPr txBox="1"/>
      </xdr:nvSpPr>
      <xdr:spPr>
        <a:xfrm>
          <a:off x="1247775" y="952500"/>
          <a:ext cx="7572375" cy="5524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a:t>Change the names of the groups and categories and enter the counts (not percentages) in the box below. Coding values can also be changed</a:t>
          </a:r>
        </a:p>
      </xdr:txBody>
    </xdr:sp>
    <xdr:clientData/>
  </xdr:oneCellAnchor>
  <xdr:oneCellAnchor>
    <xdr:from>
      <xdr:col>13</xdr:col>
      <xdr:colOff>76200</xdr:colOff>
      <xdr:row>15</xdr:row>
      <xdr:rowOff>28575</xdr:rowOff>
    </xdr:from>
    <xdr:ext cx="1971674" cy="781240"/>
    <xdr:sp macro="" textlink="">
      <xdr:nvSpPr>
        <xdr:cNvPr id="9" name="TextBox 8">
          <a:extLst>
            <a:ext uri="{FF2B5EF4-FFF2-40B4-BE49-F238E27FC236}">
              <a16:creationId xmlns:a16="http://schemas.microsoft.com/office/drawing/2014/main" xmlns="" id="{00000000-0008-0000-0900-000009000000}"/>
            </a:ext>
          </a:extLst>
        </xdr:cNvPr>
        <xdr:cNvSpPr txBox="1"/>
      </xdr:nvSpPr>
      <xdr:spPr>
        <a:xfrm>
          <a:off x="7791450" y="3114675"/>
          <a:ext cx="1971674" cy="78124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These are conservative estimates based on the chi square distribution, for exact critical values use tables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161925</xdr:colOff>
      <xdr:row>14</xdr:row>
      <xdr:rowOff>233362</xdr:rowOff>
    </xdr:from>
    <xdr:to>
      <xdr:col>16</xdr:col>
      <xdr:colOff>609599</xdr:colOff>
      <xdr:row>28</xdr:row>
      <xdr:rowOff>119062</xdr:rowOff>
    </xdr:to>
    <xdr:graphicFrame macro="">
      <xdr:nvGraphicFramePr>
        <xdr:cNvPr id="2" name="Chart 1">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304800</xdr:colOff>
      <xdr:row>14</xdr:row>
      <xdr:rowOff>233361</xdr:rowOff>
    </xdr:from>
    <xdr:to>
      <xdr:col>11</xdr:col>
      <xdr:colOff>161925</xdr:colOff>
      <xdr:row>29</xdr:row>
      <xdr:rowOff>66675</xdr:rowOff>
    </xdr:to>
    <xdr:graphicFrame macro="">
      <xdr:nvGraphicFramePr>
        <xdr:cNvPr id="3" name="Chart 2">
          <a:extLst>
            <a:ext uri="{FF2B5EF4-FFF2-40B4-BE49-F238E27FC236}">
              <a16:creationId xmlns:a16="http://schemas.microsoft.com/office/drawing/2014/main" xmlns=""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152400</xdr:colOff>
      <xdr:row>30</xdr:row>
      <xdr:rowOff>0</xdr:rowOff>
    </xdr:from>
    <xdr:to>
      <xdr:col>16</xdr:col>
      <xdr:colOff>600074</xdr:colOff>
      <xdr:row>44</xdr:row>
      <xdr:rowOff>104775</xdr:rowOff>
    </xdr:to>
    <xdr:graphicFrame macro="">
      <xdr:nvGraphicFramePr>
        <xdr:cNvPr id="5" name="Chart 4">
          <a:extLst>
            <a:ext uri="{FF2B5EF4-FFF2-40B4-BE49-F238E27FC236}">
              <a16:creationId xmlns:a16="http://schemas.microsoft.com/office/drawing/2014/main" xmlns=""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12</xdr:col>
      <xdr:colOff>219075</xdr:colOff>
      <xdr:row>9</xdr:row>
      <xdr:rowOff>228600</xdr:rowOff>
    </xdr:from>
    <xdr:ext cx="1971674" cy="781240"/>
    <xdr:sp macro="" textlink="">
      <xdr:nvSpPr>
        <xdr:cNvPr id="6" name="TextBox 5">
          <a:extLst>
            <a:ext uri="{FF2B5EF4-FFF2-40B4-BE49-F238E27FC236}">
              <a16:creationId xmlns:a16="http://schemas.microsoft.com/office/drawing/2014/main" xmlns="" id="{00000000-0008-0000-0100-000006000000}"/>
            </a:ext>
          </a:extLst>
        </xdr:cNvPr>
        <xdr:cNvSpPr txBox="1"/>
      </xdr:nvSpPr>
      <xdr:spPr>
        <a:xfrm>
          <a:off x="7324725" y="2286000"/>
          <a:ext cx="1971674" cy="78124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These are conservative estimates based on the chi square distribution, for exact critical values use tables</a:t>
          </a:r>
        </a:p>
      </xdr:txBody>
    </xdr:sp>
    <xdr:clientData/>
  </xdr:oneCellAnchor>
  <xdr:oneCellAnchor>
    <xdr:from>
      <xdr:col>0</xdr:col>
      <xdr:colOff>57150</xdr:colOff>
      <xdr:row>1</xdr:row>
      <xdr:rowOff>19050</xdr:rowOff>
    </xdr:from>
    <xdr:ext cx="5324475" cy="552450"/>
    <xdr:sp macro="" textlink="">
      <xdr:nvSpPr>
        <xdr:cNvPr id="7" name="TextBox 6">
          <a:extLst>
            <a:ext uri="{FF2B5EF4-FFF2-40B4-BE49-F238E27FC236}">
              <a16:creationId xmlns:a16="http://schemas.microsoft.com/office/drawing/2014/main" xmlns="" id="{00000000-0008-0000-0100-000007000000}"/>
            </a:ext>
          </a:extLst>
        </xdr:cNvPr>
        <xdr:cNvSpPr txBox="1"/>
      </xdr:nvSpPr>
      <xdr:spPr>
        <a:xfrm>
          <a:off x="57150" y="209550"/>
          <a:ext cx="5324475" cy="5524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a:t>Change the names of the groups and categories and enter the counts (not percentages) in the box below. Coding values can also be changed</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10</xdr:col>
      <xdr:colOff>600075</xdr:colOff>
      <xdr:row>19</xdr:row>
      <xdr:rowOff>157163</xdr:rowOff>
    </xdr:from>
    <xdr:to>
      <xdr:col>16</xdr:col>
      <xdr:colOff>228600</xdr:colOff>
      <xdr:row>33</xdr:row>
      <xdr:rowOff>1</xdr:rowOff>
    </xdr:to>
    <xdr:graphicFrame macro="">
      <xdr:nvGraphicFramePr>
        <xdr:cNvPr id="2" name="Chart 1">
          <a:extLst>
            <a:ext uri="{FF2B5EF4-FFF2-40B4-BE49-F238E27FC236}">
              <a16:creationId xmlns:a16="http://schemas.microsoft.com/office/drawing/2014/main" xmlns=""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200026</xdr:colOff>
      <xdr:row>19</xdr:row>
      <xdr:rowOff>138112</xdr:rowOff>
    </xdr:from>
    <xdr:to>
      <xdr:col>10</xdr:col>
      <xdr:colOff>466726</xdr:colOff>
      <xdr:row>33</xdr:row>
      <xdr:rowOff>28576</xdr:rowOff>
    </xdr:to>
    <xdr:graphicFrame macro="">
      <xdr:nvGraphicFramePr>
        <xdr:cNvPr id="3" name="Chart 2">
          <a:extLst>
            <a:ext uri="{FF2B5EF4-FFF2-40B4-BE49-F238E27FC236}">
              <a16:creationId xmlns:a16="http://schemas.microsoft.com/office/drawing/2014/main" xmlns=""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9525</xdr:colOff>
      <xdr:row>33</xdr:row>
      <xdr:rowOff>180975</xdr:rowOff>
    </xdr:from>
    <xdr:to>
      <xdr:col>16</xdr:col>
      <xdr:colOff>247650</xdr:colOff>
      <xdr:row>48</xdr:row>
      <xdr:rowOff>4763</xdr:rowOff>
    </xdr:to>
    <xdr:graphicFrame macro="">
      <xdr:nvGraphicFramePr>
        <xdr:cNvPr id="4" name="Chart 3">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276224</xdr:colOff>
      <xdr:row>0</xdr:row>
      <xdr:rowOff>180972</xdr:rowOff>
    </xdr:from>
    <xdr:ext cx="5648325" cy="714377"/>
    <xdr:sp macro="" textlink="">
      <xdr:nvSpPr>
        <xdr:cNvPr id="5" name="TextBox 4">
          <a:extLst>
            <a:ext uri="{FF2B5EF4-FFF2-40B4-BE49-F238E27FC236}">
              <a16:creationId xmlns:a16="http://schemas.microsoft.com/office/drawing/2014/main" xmlns="" id="{00000000-0008-0000-0200-000005000000}"/>
            </a:ext>
          </a:extLst>
        </xdr:cNvPr>
        <xdr:cNvSpPr txBox="1"/>
      </xdr:nvSpPr>
      <xdr:spPr>
        <a:xfrm>
          <a:off x="276224" y="180972"/>
          <a:ext cx="5648325" cy="71437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a:t>Change the names of the groups and categories and enter the counts (not percentages) in the box below. Coding values can also be changed</a:t>
          </a:r>
        </a:p>
      </xdr:txBody>
    </xdr:sp>
    <xdr:clientData/>
  </xdr:oneCellAnchor>
  <xdr:oneCellAnchor>
    <xdr:from>
      <xdr:col>11</xdr:col>
      <xdr:colOff>76200</xdr:colOff>
      <xdr:row>11</xdr:row>
      <xdr:rowOff>47625</xdr:rowOff>
    </xdr:from>
    <xdr:ext cx="1971674" cy="781240"/>
    <xdr:sp macro="" textlink="">
      <xdr:nvSpPr>
        <xdr:cNvPr id="6" name="TextBox 5">
          <a:extLst>
            <a:ext uri="{FF2B5EF4-FFF2-40B4-BE49-F238E27FC236}">
              <a16:creationId xmlns:a16="http://schemas.microsoft.com/office/drawing/2014/main" xmlns="" id="{00000000-0008-0000-0200-000006000000}"/>
            </a:ext>
          </a:extLst>
        </xdr:cNvPr>
        <xdr:cNvSpPr txBox="1"/>
      </xdr:nvSpPr>
      <xdr:spPr>
        <a:xfrm>
          <a:off x="6572250" y="3105150"/>
          <a:ext cx="1971674" cy="78124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These are conservative estimates based on the chi square distribution, for exact critical values use tables</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11</xdr:col>
      <xdr:colOff>0</xdr:colOff>
      <xdr:row>20</xdr:row>
      <xdr:rowOff>14287</xdr:rowOff>
    </xdr:from>
    <xdr:to>
      <xdr:col>16</xdr:col>
      <xdr:colOff>447674</xdr:colOff>
      <xdr:row>33</xdr:row>
      <xdr:rowOff>185737</xdr:rowOff>
    </xdr:to>
    <xdr:graphicFrame macro="">
      <xdr:nvGraphicFramePr>
        <xdr:cNvPr id="3" name="Chart 2">
          <a:extLst>
            <a:ext uri="{FF2B5EF4-FFF2-40B4-BE49-F238E27FC236}">
              <a16:creationId xmlns:a16="http://schemas.microsoft.com/office/drawing/2014/main" xmlns=""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xdr:colOff>
      <xdr:row>19</xdr:row>
      <xdr:rowOff>223836</xdr:rowOff>
    </xdr:from>
    <xdr:to>
      <xdr:col>10</xdr:col>
      <xdr:colOff>409575</xdr:colOff>
      <xdr:row>33</xdr:row>
      <xdr:rowOff>142875</xdr:rowOff>
    </xdr:to>
    <xdr:graphicFrame macro="">
      <xdr:nvGraphicFramePr>
        <xdr:cNvPr id="4" name="Chart 3">
          <a:extLst>
            <a:ext uri="{FF2B5EF4-FFF2-40B4-BE49-F238E27FC236}">
              <a16:creationId xmlns:a16="http://schemas.microsoft.com/office/drawing/2014/main" xmlns=""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34</xdr:row>
      <xdr:rowOff>180975</xdr:rowOff>
    </xdr:from>
    <xdr:to>
      <xdr:col>16</xdr:col>
      <xdr:colOff>447674</xdr:colOff>
      <xdr:row>49</xdr:row>
      <xdr:rowOff>95250</xdr:rowOff>
    </xdr:to>
    <xdr:graphicFrame macro="">
      <xdr:nvGraphicFramePr>
        <xdr:cNvPr id="6" name="Chart 5">
          <a:extLst>
            <a:ext uri="{FF2B5EF4-FFF2-40B4-BE49-F238E27FC236}">
              <a16:creationId xmlns:a16="http://schemas.microsoft.com/office/drawing/2014/main" xmlns=""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13</xdr:col>
      <xdr:colOff>133351</xdr:colOff>
      <xdr:row>11</xdr:row>
      <xdr:rowOff>19050</xdr:rowOff>
    </xdr:from>
    <xdr:ext cx="1971674" cy="781240"/>
    <xdr:sp macro="" textlink="">
      <xdr:nvSpPr>
        <xdr:cNvPr id="2" name="TextBox 1">
          <a:extLst>
            <a:ext uri="{FF2B5EF4-FFF2-40B4-BE49-F238E27FC236}">
              <a16:creationId xmlns:a16="http://schemas.microsoft.com/office/drawing/2014/main" xmlns="" id="{00000000-0008-0000-0300-000002000000}"/>
            </a:ext>
          </a:extLst>
        </xdr:cNvPr>
        <xdr:cNvSpPr txBox="1"/>
      </xdr:nvSpPr>
      <xdr:spPr>
        <a:xfrm>
          <a:off x="7934326" y="2505075"/>
          <a:ext cx="1971674" cy="78124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These are conservative estimates based on the chi square distribution, for exact critical values use tables</a:t>
          </a:r>
        </a:p>
      </xdr:txBody>
    </xdr:sp>
    <xdr:clientData/>
  </xdr:oneCellAnchor>
  <xdr:oneCellAnchor>
    <xdr:from>
      <xdr:col>15</xdr:col>
      <xdr:colOff>0</xdr:colOff>
      <xdr:row>1</xdr:row>
      <xdr:rowOff>133350</xdr:rowOff>
    </xdr:from>
    <xdr:ext cx="3467100" cy="542925"/>
    <xdr:sp macro="" textlink="">
      <xdr:nvSpPr>
        <xdr:cNvPr id="5" name="TextBox 4">
          <a:extLst>
            <a:ext uri="{FF2B5EF4-FFF2-40B4-BE49-F238E27FC236}">
              <a16:creationId xmlns:a16="http://schemas.microsoft.com/office/drawing/2014/main" xmlns="" id="{00000000-0008-0000-0300-000005000000}"/>
            </a:ext>
          </a:extLst>
        </xdr:cNvPr>
        <xdr:cNvSpPr txBox="1"/>
      </xdr:nvSpPr>
      <xdr:spPr>
        <a:xfrm>
          <a:off x="9020175" y="323850"/>
          <a:ext cx="3467100" cy="5429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t>These are the percentages of each group, they are only used to plot one</a:t>
          </a:r>
          <a:r>
            <a:rPr lang="en-GB" sz="1100" baseline="0"/>
            <a:t> of the graphs</a:t>
          </a:r>
          <a:endParaRPr lang="en-GB" sz="1100"/>
        </a:p>
      </xdr:txBody>
    </xdr:sp>
    <xdr:clientData/>
  </xdr:oneCellAnchor>
  <xdr:oneCellAnchor>
    <xdr:from>
      <xdr:col>24</xdr:col>
      <xdr:colOff>228600</xdr:colOff>
      <xdr:row>2</xdr:row>
      <xdr:rowOff>66675</xdr:rowOff>
    </xdr:from>
    <xdr:ext cx="2047868" cy="264560"/>
    <xdr:sp macro="" textlink="">
      <xdr:nvSpPr>
        <xdr:cNvPr id="7" name="TextBox 6">
          <a:extLst>
            <a:ext uri="{FF2B5EF4-FFF2-40B4-BE49-F238E27FC236}">
              <a16:creationId xmlns:a16="http://schemas.microsoft.com/office/drawing/2014/main" xmlns="" id="{00000000-0008-0000-0300-000007000000}"/>
            </a:ext>
          </a:extLst>
        </xdr:cNvPr>
        <xdr:cNvSpPr txBox="1"/>
      </xdr:nvSpPr>
      <xdr:spPr>
        <a:xfrm>
          <a:off x="14735175" y="447675"/>
          <a:ext cx="2047868" cy="26456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These are the cumulative counts</a:t>
          </a:r>
        </a:p>
      </xdr:txBody>
    </xdr:sp>
    <xdr:clientData/>
  </xdr:oneCellAnchor>
  <xdr:oneCellAnchor>
    <xdr:from>
      <xdr:col>23</xdr:col>
      <xdr:colOff>276225</xdr:colOff>
      <xdr:row>10</xdr:row>
      <xdr:rowOff>152400</xdr:rowOff>
    </xdr:from>
    <xdr:ext cx="2341860" cy="264560"/>
    <xdr:sp macro="" textlink="">
      <xdr:nvSpPr>
        <xdr:cNvPr id="8" name="TextBox 7">
          <a:extLst>
            <a:ext uri="{FF2B5EF4-FFF2-40B4-BE49-F238E27FC236}">
              <a16:creationId xmlns:a16="http://schemas.microsoft.com/office/drawing/2014/main" xmlns="" id="{00000000-0008-0000-0300-000008000000}"/>
            </a:ext>
          </a:extLst>
        </xdr:cNvPr>
        <xdr:cNvSpPr txBox="1"/>
      </xdr:nvSpPr>
      <xdr:spPr>
        <a:xfrm>
          <a:off x="14173200" y="2447925"/>
          <a:ext cx="2341860" cy="26456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These are the cumulative proportions</a:t>
          </a:r>
        </a:p>
      </xdr:txBody>
    </xdr:sp>
    <xdr:clientData/>
  </xdr:oneCellAnchor>
  <xdr:oneCellAnchor>
    <xdr:from>
      <xdr:col>32</xdr:col>
      <xdr:colOff>57150</xdr:colOff>
      <xdr:row>17</xdr:row>
      <xdr:rowOff>161925</xdr:rowOff>
    </xdr:from>
    <xdr:ext cx="1628775" cy="609013"/>
    <xdr:sp macro="" textlink="">
      <xdr:nvSpPr>
        <xdr:cNvPr id="9" name="TextBox 8">
          <a:extLst>
            <a:ext uri="{FF2B5EF4-FFF2-40B4-BE49-F238E27FC236}">
              <a16:creationId xmlns:a16="http://schemas.microsoft.com/office/drawing/2014/main" xmlns="" id="{00000000-0008-0000-0300-000009000000}"/>
            </a:ext>
          </a:extLst>
        </xdr:cNvPr>
        <xdr:cNvSpPr txBox="1"/>
      </xdr:nvSpPr>
      <xdr:spPr>
        <a:xfrm>
          <a:off x="19821525" y="3914775"/>
          <a:ext cx="1628775" cy="60901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Here</a:t>
          </a:r>
          <a:r>
            <a:rPr lang="en-GB" sz="1100" baseline="0"/>
            <a:t> the critical values are calculated and compared with D-max </a:t>
          </a:r>
          <a:endParaRPr lang="en-GB" sz="1100"/>
        </a:p>
      </xdr:txBody>
    </xdr:sp>
    <xdr:clientData/>
  </xdr:oneCellAnchor>
  <xdr:oneCellAnchor>
    <xdr:from>
      <xdr:col>33</xdr:col>
      <xdr:colOff>257175</xdr:colOff>
      <xdr:row>0</xdr:row>
      <xdr:rowOff>171450</xdr:rowOff>
    </xdr:from>
    <xdr:ext cx="4105275" cy="609013"/>
    <xdr:sp macro="" textlink="">
      <xdr:nvSpPr>
        <xdr:cNvPr id="10" name="TextBox 9">
          <a:extLst>
            <a:ext uri="{FF2B5EF4-FFF2-40B4-BE49-F238E27FC236}">
              <a16:creationId xmlns:a16="http://schemas.microsoft.com/office/drawing/2014/main" xmlns="" id="{00000000-0008-0000-0300-00000A000000}"/>
            </a:ext>
          </a:extLst>
        </xdr:cNvPr>
        <xdr:cNvSpPr txBox="1"/>
      </xdr:nvSpPr>
      <xdr:spPr>
        <a:xfrm>
          <a:off x="20631150" y="171450"/>
          <a:ext cx="4105275" cy="60901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Here the coding values are used to translate the counts into mean and standard deviation values in order to apply Student's</a:t>
          </a:r>
          <a:r>
            <a:rPr lang="en-GB" sz="1100" baseline="0"/>
            <a:t> t-test and the F-test for equality fo variance. </a:t>
          </a:r>
          <a:endParaRPr lang="en-GB" sz="1100"/>
        </a:p>
      </xdr:txBody>
    </xdr:sp>
    <xdr:clientData/>
  </xdr:oneCellAnchor>
  <xdr:oneCellAnchor>
    <xdr:from>
      <xdr:col>42</xdr:col>
      <xdr:colOff>114300</xdr:colOff>
      <xdr:row>13</xdr:row>
      <xdr:rowOff>152400</xdr:rowOff>
    </xdr:from>
    <xdr:ext cx="1933575" cy="609013"/>
    <xdr:sp macro="" textlink="">
      <xdr:nvSpPr>
        <xdr:cNvPr id="11" name="TextBox 10">
          <a:extLst>
            <a:ext uri="{FF2B5EF4-FFF2-40B4-BE49-F238E27FC236}">
              <a16:creationId xmlns:a16="http://schemas.microsoft.com/office/drawing/2014/main" xmlns="" id="{00000000-0008-0000-0300-00000B000000}"/>
            </a:ext>
          </a:extLst>
        </xdr:cNvPr>
        <xdr:cNvSpPr txBox="1"/>
      </xdr:nvSpPr>
      <xdr:spPr>
        <a:xfrm>
          <a:off x="25974675" y="3048000"/>
          <a:ext cx="1933575" cy="60901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This section calculated the t-test mathematically rather than using an Excel function</a:t>
          </a:r>
        </a:p>
      </xdr:txBody>
    </xdr:sp>
    <xdr:clientData/>
  </xdr:oneCellAnchor>
  <xdr:oneCellAnchor>
    <xdr:from>
      <xdr:col>42</xdr:col>
      <xdr:colOff>361950</xdr:colOff>
      <xdr:row>22</xdr:row>
      <xdr:rowOff>0</xdr:rowOff>
    </xdr:from>
    <xdr:ext cx="1328056" cy="264560"/>
    <xdr:sp macro="" textlink="">
      <xdr:nvSpPr>
        <xdr:cNvPr id="12" name="TextBox 11">
          <a:extLst>
            <a:ext uri="{FF2B5EF4-FFF2-40B4-BE49-F238E27FC236}">
              <a16:creationId xmlns:a16="http://schemas.microsoft.com/office/drawing/2014/main" xmlns="" id="{00000000-0008-0000-0300-00000C000000}"/>
            </a:ext>
          </a:extLst>
        </xdr:cNvPr>
        <xdr:cNvSpPr txBox="1"/>
      </xdr:nvSpPr>
      <xdr:spPr>
        <a:xfrm>
          <a:off x="26222325" y="4848225"/>
          <a:ext cx="1328056" cy="26456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Results of the F-test</a:t>
          </a:r>
        </a:p>
      </xdr:txBody>
    </xdr:sp>
    <xdr:clientData/>
  </xdr:oneCellAnchor>
  <xdr:oneCellAnchor>
    <xdr:from>
      <xdr:col>0</xdr:col>
      <xdr:colOff>190500</xdr:colOff>
      <xdr:row>0</xdr:row>
      <xdr:rowOff>104775</xdr:rowOff>
    </xdr:from>
    <xdr:ext cx="5324475" cy="552450"/>
    <xdr:sp macro="" textlink="">
      <xdr:nvSpPr>
        <xdr:cNvPr id="13" name="TextBox 12">
          <a:extLst>
            <a:ext uri="{FF2B5EF4-FFF2-40B4-BE49-F238E27FC236}">
              <a16:creationId xmlns:a16="http://schemas.microsoft.com/office/drawing/2014/main" xmlns="" id="{00000000-0008-0000-0300-00000D000000}"/>
            </a:ext>
          </a:extLst>
        </xdr:cNvPr>
        <xdr:cNvSpPr txBox="1"/>
      </xdr:nvSpPr>
      <xdr:spPr>
        <a:xfrm>
          <a:off x="190500" y="104775"/>
          <a:ext cx="5324475" cy="5524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a:t>Change the names of the groups and categories and enter the counts (not percentages) in the box below. Coding values can also be changed</a:t>
          </a:r>
        </a:p>
      </xdr:txBody>
    </xdr:sp>
    <xdr:clientData/>
  </xdr:oneCellAnchor>
  <xdr:oneCellAnchor>
    <xdr:from>
      <xdr:col>6</xdr:col>
      <xdr:colOff>552450</xdr:colOff>
      <xdr:row>36</xdr:row>
      <xdr:rowOff>133350</xdr:rowOff>
    </xdr:from>
    <xdr:ext cx="1943100" cy="609013"/>
    <xdr:sp macro="" textlink="">
      <xdr:nvSpPr>
        <xdr:cNvPr id="14" name="TextBox 13">
          <a:extLst>
            <a:ext uri="{FF2B5EF4-FFF2-40B4-BE49-F238E27FC236}">
              <a16:creationId xmlns:a16="http://schemas.microsoft.com/office/drawing/2014/main" xmlns="" id="{00000000-0008-0000-0300-00000E000000}"/>
            </a:ext>
          </a:extLst>
        </xdr:cNvPr>
        <xdr:cNvSpPr txBox="1"/>
      </xdr:nvSpPr>
      <xdr:spPr>
        <a:xfrm>
          <a:off x="4305300" y="7677150"/>
          <a:ext cx="1943100" cy="609013"/>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These graphs can be edited to</a:t>
          </a:r>
          <a:r>
            <a:rPr lang="en-GB" sz="1100" baseline="0"/>
            <a:t> suit your own data. Nothing is fixed or protected.</a:t>
          </a:r>
          <a:endParaRPr lang="en-GB"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11</xdr:col>
      <xdr:colOff>285750</xdr:colOff>
      <xdr:row>18</xdr:row>
      <xdr:rowOff>147637</xdr:rowOff>
    </xdr:from>
    <xdr:to>
      <xdr:col>17</xdr:col>
      <xdr:colOff>123824</xdr:colOff>
      <xdr:row>32</xdr:row>
      <xdr:rowOff>80962</xdr:rowOff>
    </xdr:to>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466725</xdr:colOff>
      <xdr:row>18</xdr:row>
      <xdr:rowOff>138111</xdr:rowOff>
    </xdr:from>
    <xdr:to>
      <xdr:col>11</xdr:col>
      <xdr:colOff>114300</xdr:colOff>
      <xdr:row>32</xdr:row>
      <xdr:rowOff>38100</xdr:rowOff>
    </xdr:to>
    <xdr:graphicFrame macro="">
      <xdr:nvGraphicFramePr>
        <xdr:cNvPr id="3" name="Chart 2">
          <a:extLst>
            <a:ext uri="{FF2B5EF4-FFF2-40B4-BE49-F238E27FC236}">
              <a16:creationId xmlns:a16="http://schemas.microsoft.com/office/drawing/2014/main" xmlns=""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285750</xdr:colOff>
      <xdr:row>32</xdr:row>
      <xdr:rowOff>171450</xdr:rowOff>
    </xdr:from>
    <xdr:to>
      <xdr:col>17</xdr:col>
      <xdr:colOff>123824</xdr:colOff>
      <xdr:row>47</xdr:row>
      <xdr:rowOff>85725</xdr:rowOff>
    </xdr:to>
    <xdr:graphicFrame macro="">
      <xdr:nvGraphicFramePr>
        <xdr:cNvPr id="5" name="Chart 4">
          <a:extLst>
            <a:ext uri="{FF2B5EF4-FFF2-40B4-BE49-F238E27FC236}">
              <a16:creationId xmlns:a16="http://schemas.microsoft.com/office/drawing/2014/main" xmlns=""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13</xdr:col>
      <xdr:colOff>161925</xdr:colOff>
      <xdr:row>11</xdr:row>
      <xdr:rowOff>38100</xdr:rowOff>
    </xdr:from>
    <xdr:ext cx="1971674" cy="781240"/>
    <xdr:sp macro="" textlink="">
      <xdr:nvSpPr>
        <xdr:cNvPr id="6" name="TextBox 5">
          <a:extLst>
            <a:ext uri="{FF2B5EF4-FFF2-40B4-BE49-F238E27FC236}">
              <a16:creationId xmlns:a16="http://schemas.microsoft.com/office/drawing/2014/main" xmlns="" id="{00000000-0008-0000-0400-000006000000}"/>
            </a:ext>
          </a:extLst>
        </xdr:cNvPr>
        <xdr:cNvSpPr txBox="1"/>
      </xdr:nvSpPr>
      <xdr:spPr>
        <a:xfrm>
          <a:off x="7877175" y="2362200"/>
          <a:ext cx="1971674" cy="78124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These are conservative estimates based on the chi square distribution, for exact critical values use tables</a:t>
          </a:r>
        </a:p>
      </xdr:txBody>
    </xdr:sp>
    <xdr:clientData/>
  </xdr:oneCellAnchor>
  <xdr:oneCellAnchor>
    <xdr:from>
      <xdr:col>1</xdr:col>
      <xdr:colOff>314325</xdr:colOff>
      <xdr:row>1</xdr:row>
      <xdr:rowOff>114300</xdr:rowOff>
    </xdr:from>
    <xdr:ext cx="5324475" cy="552450"/>
    <xdr:sp macro="" textlink="">
      <xdr:nvSpPr>
        <xdr:cNvPr id="7" name="TextBox 6">
          <a:extLst>
            <a:ext uri="{FF2B5EF4-FFF2-40B4-BE49-F238E27FC236}">
              <a16:creationId xmlns:a16="http://schemas.microsoft.com/office/drawing/2014/main" xmlns="" id="{00000000-0008-0000-0400-000007000000}"/>
            </a:ext>
          </a:extLst>
        </xdr:cNvPr>
        <xdr:cNvSpPr txBox="1"/>
      </xdr:nvSpPr>
      <xdr:spPr>
        <a:xfrm>
          <a:off x="923925" y="304800"/>
          <a:ext cx="5324475" cy="5524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a:t>Change the names of the groups and categories and enter the counts (not percentages) in the box below. Coding values can also be changed</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11</xdr:col>
      <xdr:colOff>9525</xdr:colOff>
      <xdr:row>20</xdr:row>
      <xdr:rowOff>23812</xdr:rowOff>
    </xdr:from>
    <xdr:to>
      <xdr:col>16</xdr:col>
      <xdr:colOff>457199</xdr:colOff>
      <xdr:row>34</xdr:row>
      <xdr:rowOff>4762</xdr:rowOff>
    </xdr:to>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266700</xdr:colOff>
      <xdr:row>20</xdr:row>
      <xdr:rowOff>9526</xdr:rowOff>
    </xdr:from>
    <xdr:to>
      <xdr:col>10</xdr:col>
      <xdr:colOff>581025</xdr:colOff>
      <xdr:row>34</xdr:row>
      <xdr:rowOff>1</xdr:rowOff>
    </xdr:to>
    <xdr:graphicFrame macro="">
      <xdr:nvGraphicFramePr>
        <xdr:cNvPr id="3" name="Chart 2">
          <a:extLst>
            <a:ext uri="{FF2B5EF4-FFF2-40B4-BE49-F238E27FC236}">
              <a16:creationId xmlns:a16="http://schemas.microsoft.com/office/drawing/2014/main" xmlns=""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9525</xdr:colOff>
      <xdr:row>34</xdr:row>
      <xdr:rowOff>171450</xdr:rowOff>
    </xdr:from>
    <xdr:to>
      <xdr:col>16</xdr:col>
      <xdr:colOff>457199</xdr:colOff>
      <xdr:row>49</xdr:row>
      <xdr:rowOff>85725</xdr:rowOff>
    </xdr:to>
    <xdr:graphicFrame macro="">
      <xdr:nvGraphicFramePr>
        <xdr:cNvPr id="5" name="Chart 4">
          <a:extLst>
            <a:ext uri="{FF2B5EF4-FFF2-40B4-BE49-F238E27FC236}">
              <a16:creationId xmlns:a16="http://schemas.microsoft.com/office/drawing/2014/main" xmlns=""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12</xdr:col>
      <xdr:colOff>66675</xdr:colOff>
      <xdr:row>10</xdr:row>
      <xdr:rowOff>180975</xdr:rowOff>
    </xdr:from>
    <xdr:ext cx="1971674" cy="781240"/>
    <xdr:sp macro="" textlink="">
      <xdr:nvSpPr>
        <xdr:cNvPr id="7" name="TextBox 6">
          <a:extLst>
            <a:ext uri="{FF2B5EF4-FFF2-40B4-BE49-F238E27FC236}">
              <a16:creationId xmlns:a16="http://schemas.microsoft.com/office/drawing/2014/main" xmlns="" id="{00000000-0008-0000-0500-000007000000}"/>
            </a:ext>
          </a:extLst>
        </xdr:cNvPr>
        <xdr:cNvSpPr txBox="1"/>
      </xdr:nvSpPr>
      <xdr:spPr>
        <a:xfrm>
          <a:off x="7172325" y="2314575"/>
          <a:ext cx="1971674" cy="78124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These are conservative estimates based on the chi square distribution, for exact critical values use tables</a:t>
          </a:r>
        </a:p>
      </xdr:txBody>
    </xdr:sp>
    <xdr:clientData/>
  </xdr:oneCellAnchor>
  <xdr:oneCellAnchor>
    <xdr:from>
      <xdr:col>2</xdr:col>
      <xdr:colOff>19050</xdr:colOff>
      <xdr:row>1</xdr:row>
      <xdr:rowOff>66675</xdr:rowOff>
    </xdr:from>
    <xdr:ext cx="5324475" cy="552450"/>
    <xdr:sp macro="" textlink="">
      <xdr:nvSpPr>
        <xdr:cNvPr id="8" name="TextBox 7">
          <a:extLst>
            <a:ext uri="{FF2B5EF4-FFF2-40B4-BE49-F238E27FC236}">
              <a16:creationId xmlns:a16="http://schemas.microsoft.com/office/drawing/2014/main" xmlns="" id="{00000000-0008-0000-0500-000008000000}"/>
            </a:ext>
          </a:extLst>
        </xdr:cNvPr>
        <xdr:cNvSpPr txBox="1"/>
      </xdr:nvSpPr>
      <xdr:spPr>
        <a:xfrm>
          <a:off x="1238250" y="257175"/>
          <a:ext cx="5324475" cy="5524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a:t>Change the names of the groups and categories and enter the counts (not percentages) in the box below. Coding values can also be changed</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10</xdr:col>
      <xdr:colOff>600075</xdr:colOff>
      <xdr:row>18</xdr:row>
      <xdr:rowOff>80962</xdr:rowOff>
    </xdr:from>
    <xdr:to>
      <xdr:col>16</xdr:col>
      <xdr:colOff>438149</xdr:colOff>
      <xdr:row>32</xdr:row>
      <xdr:rowOff>14287</xdr:rowOff>
    </xdr:to>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285750</xdr:colOff>
      <xdr:row>18</xdr:row>
      <xdr:rowOff>100011</xdr:rowOff>
    </xdr:from>
    <xdr:to>
      <xdr:col>10</xdr:col>
      <xdr:colOff>542925</xdr:colOff>
      <xdr:row>32</xdr:row>
      <xdr:rowOff>0</xdr:rowOff>
    </xdr:to>
    <xdr:graphicFrame macro="">
      <xdr:nvGraphicFramePr>
        <xdr:cNvPr id="3" name="Chart 2">
          <a:extLst>
            <a:ext uri="{FF2B5EF4-FFF2-40B4-BE49-F238E27FC236}">
              <a16:creationId xmlns:a16="http://schemas.microsoft.com/office/drawing/2014/main" xmlns=""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33</xdr:row>
      <xdr:rowOff>0</xdr:rowOff>
    </xdr:from>
    <xdr:to>
      <xdr:col>16</xdr:col>
      <xdr:colOff>447674</xdr:colOff>
      <xdr:row>47</xdr:row>
      <xdr:rowOff>104775</xdr:rowOff>
    </xdr:to>
    <xdr:graphicFrame macro="">
      <xdr:nvGraphicFramePr>
        <xdr:cNvPr id="5" name="Chart 4">
          <a:extLst>
            <a:ext uri="{FF2B5EF4-FFF2-40B4-BE49-F238E27FC236}">
              <a16:creationId xmlns:a16="http://schemas.microsoft.com/office/drawing/2014/main" xmlns=""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13</xdr:col>
      <xdr:colOff>76200</xdr:colOff>
      <xdr:row>11</xdr:row>
      <xdr:rowOff>47625</xdr:rowOff>
    </xdr:from>
    <xdr:ext cx="1971674" cy="781240"/>
    <xdr:sp macro="" textlink="">
      <xdr:nvSpPr>
        <xdr:cNvPr id="6" name="TextBox 5">
          <a:extLst>
            <a:ext uri="{FF2B5EF4-FFF2-40B4-BE49-F238E27FC236}">
              <a16:creationId xmlns:a16="http://schemas.microsoft.com/office/drawing/2014/main" xmlns="" id="{00000000-0008-0000-0600-000006000000}"/>
            </a:ext>
          </a:extLst>
        </xdr:cNvPr>
        <xdr:cNvSpPr txBox="1"/>
      </xdr:nvSpPr>
      <xdr:spPr>
        <a:xfrm>
          <a:off x="7791450" y="2371725"/>
          <a:ext cx="1971674" cy="78124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These are conservative estimates based on the chi square distribution, for exact critical values use tables</a:t>
          </a:r>
        </a:p>
      </xdr:txBody>
    </xdr:sp>
    <xdr:clientData/>
  </xdr:oneCellAnchor>
  <xdr:oneCellAnchor>
    <xdr:from>
      <xdr:col>2</xdr:col>
      <xdr:colOff>371475</xdr:colOff>
      <xdr:row>1</xdr:row>
      <xdr:rowOff>104775</xdr:rowOff>
    </xdr:from>
    <xdr:ext cx="5324475" cy="552450"/>
    <xdr:sp macro="" textlink="">
      <xdr:nvSpPr>
        <xdr:cNvPr id="8" name="TextBox 7">
          <a:extLst>
            <a:ext uri="{FF2B5EF4-FFF2-40B4-BE49-F238E27FC236}">
              <a16:creationId xmlns:a16="http://schemas.microsoft.com/office/drawing/2014/main" xmlns="" id="{00000000-0008-0000-0600-000008000000}"/>
            </a:ext>
          </a:extLst>
        </xdr:cNvPr>
        <xdr:cNvSpPr txBox="1"/>
      </xdr:nvSpPr>
      <xdr:spPr>
        <a:xfrm>
          <a:off x="1590675" y="295275"/>
          <a:ext cx="5324475" cy="5524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a:t>Change the names of the groups and categories and enter the counts (not percentages) in the box below. Coding values can also be changed</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10</xdr:col>
      <xdr:colOff>609599</xdr:colOff>
      <xdr:row>17</xdr:row>
      <xdr:rowOff>185737</xdr:rowOff>
    </xdr:from>
    <xdr:to>
      <xdr:col>19</xdr:col>
      <xdr:colOff>447674</xdr:colOff>
      <xdr:row>32</xdr:row>
      <xdr:rowOff>0</xdr:rowOff>
    </xdr:to>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266700</xdr:colOff>
      <xdr:row>18</xdr:row>
      <xdr:rowOff>28576</xdr:rowOff>
    </xdr:from>
    <xdr:to>
      <xdr:col>10</xdr:col>
      <xdr:colOff>590550</xdr:colOff>
      <xdr:row>32</xdr:row>
      <xdr:rowOff>9526</xdr:rowOff>
    </xdr:to>
    <xdr:graphicFrame macro="">
      <xdr:nvGraphicFramePr>
        <xdr:cNvPr id="3" name="Chart 2">
          <a:extLst>
            <a:ext uri="{FF2B5EF4-FFF2-40B4-BE49-F238E27FC236}">
              <a16:creationId xmlns:a16="http://schemas.microsoft.com/office/drawing/2014/main" xmlns=""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600075</xdr:colOff>
      <xdr:row>32</xdr:row>
      <xdr:rowOff>180975</xdr:rowOff>
    </xdr:from>
    <xdr:to>
      <xdr:col>19</xdr:col>
      <xdr:colOff>438150</xdr:colOff>
      <xdr:row>47</xdr:row>
      <xdr:rowOff>166688</xdr:rowOff>
    </xdr:to>
    <xdr:graphicFrame macro="">
      <xdr:nvGraphicFramePr>
        <xdr:cNvPr id="5" name="Chart 4">
          <a:extLst>
            <a:ext uri="{FF2B5EF4-FFF2-40B4-BE49-F238E27FC236}">
              <a16:creationId xmlns:a16="http://schemas.microsoft.com/office/drawing/2014/main" xmlns=""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13</xdr:col>
      <xdr:colOff>57150</xdr:colOff>
      <xdr:row>10</xdr:row>
      <xdr:rowOff>180975</xdr:rowOff>
    </xdr:from>
    <xdr:ext cx="1971674" cy="781240"/>
    <xdr:sp macro="" textlink="">
      <xdr:nvSpPr>
        <xdr:cNvPr id="7" name="TextBox 6">
          <a:extLst>
            <a:ext uri="{FF2B5EF4-FFF2-40B4-BE49-F238E27FC236}">
              <a16:creationId xmlns:a16="http://schemas.microsoft.com/office/drawing/2014/main" xmlns="" id="{00000000-0008-0000-0700-000007000000}"/>
            </a:ext>
          </a:extLst>
        </xdr:cNvPr>
        <xdr:cNvSpPr txBox="1"/>
      </xdr:nvSpPr>
      <xdr:spPr>
        <a:xfrm>
          <a:off x="7772400" y="2314575"/>
          <a:ext cx="1971674" cy="78124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These are conservative estimates based on the chi square distribution, for exact critical values use tables</a:t>
          </a:r>
        </a:p>
      </xdr:txBody>
    </xdr:sp>
    <xdr:clientData/>
  </xdr:oneCellAnchor>
  <xdr:oneCellAnchor>
    <xdr:from>
      <xdr:col>3</xdr:col>
      <xdr:colOff>190500</xdr:colOff>
      <xdr:row>1</xdr:row>
      <xdr:rowOff>114300</xdr:rowOff>
    </xdr:from>
    <xdr:ext cx="5324475" cy="552450"/>
    <xdr:sp macro="" textlink="">
      <xdr:nvSpPr>
        <xdr:cNvPr id="8" name="TextBox 7">
          <a:extLst>
            <a:ext uri="{FF2B5EF4-FFF2-40B4-BE49-F238E27FC236}">
              <a16:creationId xmlns:a16="http://schemas.microsoft.com/office/drawing/2014/main" xmlns="" id="{00000000-0008-0000-0700-000008000000}"/>
            </a:ext>
          </a:extLst>
        </xdr:cNvPr>
        <xdr:cNvSpPr txBox="1"/>
      </xdr:nvSpPr>
      <xdr:spPr>
        <a:xfrm>
          <a:off x="1981200" y="304800"/>
          <a:ext cx="5324475" cy="5524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a:t>Change the names of the groups and categories and enter the counts (not percentages) in the box below. Coding values can also be changed</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11</xdr:col>
      <xdr:colOff>142875</xdr:colOff>
      <xdr:row>18</xdr:row>
      <xdr:rowOff>14287</xdr:rowOff>
    </xdr:from>
    <xdr:to>
      <xdr:col>19</xdr:col>
      <xdr:colOff>581025</xdr:colOff>
      <xdr:row>32</xdr:row>
      <xdr:rowOff>9525</xdr:rowOff>
    </xdr:to>
    <xdr:graphicFrame macro="">
      <xdr:nvGraphicFramePr>
        <xdr:cNvPr id="2" name="Chart 1">
          <a:extLst>
            <a:ext uri="{FF2B5EF4-FFF2-40B4-BE49-F238E27FC236}">
              <a16:creationId xmlns:a16="http://schemas.microsoft.com/office/drawing/2014/main" xmlns=""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342900</xdr:colOff>
      <xdr:row>17</xdr:row>
      <xdr:rowOff>157161</xdr:rowOff>
    </xdr:from>
    <xdr:to>
      <xdr:col>10</xdr:col>
      <xdr:colOff>600075</xdr:colOff>
      <xdr:row>31</xdr:row>
      <xdr:rowOff>57150</xdr:rowOff>
    </xdr:to>
    <xdr:graphicFrame macro="">
      <xdr:nvGraphicFramePr>
        <xdr:cNvPr id="3" name="Chart 2">
          <a:extLst>
            <a:ext uri="{FF2B5EF4-FFF2-40B4-BE49-F238E27FC236}">
              <a16:creationId xmlns:a16="http://schemas.microsoft.com/office/drawing/2014/main" xmlns=""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30</xdr:row>
      <xdr:rowOff>0</xdr:rowOff>
    </xdr:from>
    <xdr:to>
      <xdr:col>19</xdr:col>
      <xdr:colOff>438150</xdr:colOff>
      <xdr:row>44</xdr:row>
      <xdr:rowOff>166688</xdr:rowOff>
    </xdr:to>
    <xdr:graphicFrame macro="">
      <xdr:nvGraphicFramePr>
        <xdr:cNvPr id="5" name="Chart 4">
          <a:extLst>
            <a:ext uri="{FF2B5EF4-FFF2-40B4-BE49-F238E27FC236}">
              <a16:creationId xmlns:a16="http://schemas.microsoft.com/office/drawing/2014/main" xmlns=""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13</xdr:col>
      <xdr:colOff>123825</xdr:colOff>
      <xdr:row>11</xdr:row>
      <xdr:rowOff>57150</xdr:rowOff>
    </xdr:from>
    <xdr:ext cx="1971674" cy="781240"/>
    <xdr:sp macro="" textlink="">
      <xdr:nvSpPr>
        <xdr:cNvPr id="6" name="TextBox 5">
          <a:extLst>
            <a:ext uri="{FF2B5EF4-FFF2-40B4-BE49-F238E27FC236}">
              <a16:creationId xmlns:a16="http://schemas.microsoft.com/office/drawing/2014/main" xmlns="" id="{00000000-0008-0000-0800-000006000000}"/>
            </a:ext>
          </a:extLst>
        </xdr:cNvPr>
        <xdr:cNvSpPr txBox="1"/>
      </xdr:nvSpPr>
      <xdr:spPr>
        <a:xfrm>
          <a:off x="7839075" y="2381250"/>
          <a:ext cx="1971674" cy="78124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These are conservative estimates based on the chi square distribution, for exact critical values use tables</a:t>
          </a:r>
        </a:p>
      </xdr:txBody>
    </xdr:sp>
    <xdr:clientData/>
  </xdr:oneCellAnchor>
  <xdr:oneCellAnchor>
    <xdr:from>
      <xdr:col>4</xdr:col>
      <xdr:colOff>0</xdr:colOff>
      <xdr:row>1</xdr:row>
      <xdr:rowOff>114300</xdr:rowOff>
    </xdr:from>
    <xdr:ext cx="5324475" cy="552450"/>
    <xdr:sp macro="" textlink="">
      <xdr:nvSpPr>
        <xdr:cNvPr id="7" name="TextBox 6">
          <a:extLst>
            <a:ext uri="{FF2B5EF4-FFF2-40B4-BE49-F238E27FC236}">
              <a16:creationId xmlns:a16="http://schemas.microsoft.com/office/drawing/2014/main" xmlns="" id="{00000000-0008-0000-0800-000007000000}"/>
            </a:ext>
          </a:extLst>
        </xdr:cNvPr>
        <xdr:cNvSpPr txBox="1"/>
      </xdr:nvSpPr>
      <xdr:spPr>
        <a:xfrm>
          <a:off x="2371725" y="304800"/>
          <a:ext cx="5324475" cy="5524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a:t>Change the names of the groups and categories and enter the counts (not percentages) in the box below. Coding values can also be changed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32"/>
  <sheetViews>
    <sheetView tabSelected="1" zoomScale="70" zoomScaleNormal="70" workbookViewId="0">
      <selection activeCell="P5" sqref="P5"/>
    </sheetView>
  </sheetViews>
  <sheetFormatPr defaultRowHeight="15" x14ac:dyDescent="0.25"/>
  <cols>
    <col min="3" max="3" width="8.5703125" customWidth="1"/>
    <col min="4" max="5" width="8.7109375" customWidth="1"/>
    <col min="6" max="6" width="8.85546875" customWidth="1"/>
    <col min="7" max="7" width="8.7109375" customWidth="1"/>
    <col min="8" max="8" width="8.5703125" customWidth="1"/>
    <col min="9" max="9" width="8.7109375" customWidth="1"/>
    <col min="25" max="25" width="12" bestFit="1" customWidth="1"/>
  </cols>
  <sheetData>
    <row r="2" spans="1:36" ht="15" customHeight="1" x14ac:dyDescent="0.25">
      <c r="B2" s="32"/>
      <c r="C2" s="16"/>
      <c r="D2" s="16"/>
      <c r="E2" s="16"/>
      <c r="F2" s="16"/>
      <c r="G2" s="16"/>
      <c r="H2" s="16"/>
      <c r="I2" s="16"/>
    </row>
    <row r="3" spans="1:36" x14ac:dyDescent="0.25">
      <c r="B3" s="16"/>
      <c r="C3" s="16"/>
      <c r="D3" s="16"/>
      <c r="E3" s="16"/>
      <c r="F3" s="16"/>
      <c r="G3" s="16"/>
      <c r="H3" s="16"/>
      <c r="I3" s="16"/>
    </row>
    <row r="4" spans="1:36" x14ac:dyDescent="0.25">
      <c r="S4" t="s">
        <v>29</v>
      </c>
    </row>
    <row r="5" spans="1:36" ht="15.75" customHeight="1" thickBot="1" x14ac:dyDescent="0.3"/>
    <row r="6" spans="1:36" ht="32.25" thickBot="1" x14ac:dyDescent="0.3">
      <c r="C6" s="18"/>
      <c r="D6" s="19" t="s">
        <v>105</v>
      </c>
      <c r="E6" s="2" t="s">
        <v>106</v>
      </c>
      <c r="F6" s="2" t="s">
        <v>107</v>
      </c>
      <c r="G6" s="13"/>
      <c r="I6" s="9" t="s">
        <v>7</v>
      </c>
      <c r="J6" s="9"/>
      <c r="K6" s="9"/>
      <c r="L6" s="9" t="str">
        <f>D6</f>
        <v>Openings</v>
      </c>
      <c r="M6" s="9" t="str">
        <f t="shared" ref="M6:N6" si="0">E6</f>
        <v>Closings</v>
      </c>
      <c r="N6" s="9" t="str">
        <f t="shared" si="0"/>
        <v>Same</v>
      </c>
      <c r="O6" s="9"/>
      <c r="P6" s="9"/>
      <c r="Q6" s="13"/>
      <c r="S6" s="4" t="str">
        <f>D6</f>
        <v>Openings</v>
      </c>
      <c r="T6" s="4" t="str">
        <f>E6</f>
        <v>Closings</v>
      </c>
      <c r="U6" s="4" t="str">
        <f>F6</f>
        <v>Same</v>
      </c>
      <c r="V6" s="4"/>
      <c r="W6" s="4"/>
      <c r="X6" s="4"/>
      <c r="Y6" s="2" t="s">
        <v>7</v>
      </c>
      <c r="Z6" s="4"/>
      <c r="AB6" s="4" t="str">
        <f>D6</f>
        <v>Openings</v>
      </c>
      <c r="AC6" s="4" t="str">
        <f>E6</f>
        <v>Closings</v>
      </c>
      <c r="AD6" s="4" t="str">
        <f>F6</f>
        <v>Same</v>
      </c>
      <c r="AE6" s="4"/>
      <c r="AF6" s="4"/>
      <c r="AH6" t="s">
        <v>9</v>
      </c>
    </row>
    <row r="7" spans="1:36" ht="19.5" thickBot="1" x14ac:dyDescent="0.3">
      <c r="B7" s="35" t="s">
        <v>100</v>
      </c>
      <c r="C7" s="36"/>
      <c r="D7" s="12">
        <v>21</v>
      </c>
      <c r="E7" s="12">
        <v>119</v>
      </c>
      <c r="F7" s="12">
        <v>35</v>
      </c>
      <c r="G7" s="18"/>
      <c r="I7">
        <f>SUM(D7:F7)</f>
        <v>175</v>
      </c>
      <c r="K7" t="str">
        <f>B7</f>
        <v>Gosport</v>
      </c>
      <c r="L7" s="5">
        <f>(D7/$I7)*100</f>
        <v>12</v>
      </c>
      <c r="M7" s="5">
        <f t="shared" ref="M7:N7" si="1">(E7/$I7)*100</f>
        <v>68</v>
      </c>
      <c r="N7" s="5">
        <f t="shared" si="1"/>
        <v>20</v>
      </c>
      <c r="P7" s="5">
        <f>SUM(L7:N7)</f>
        <v>100</v>
      </c>
      <c r="Q7" s="13"/>
      <c r="R7" t="str">
        <f>B7</f>
        <v>Gosport</v>
      </c>
      <c r="S7">
        <f>D7</f>
        <v>21</v>
      </c>
      <c r="T7">
        <f>E7+S7</f>
        <v>140</v>
      </c>
      <c r="U7">
        <f>F7+T7</f>
        <v>175</v>
      </c>
      <c r="Y7" s="3">
        <f>SUM(D7:F7)</f>
        <v>175</v>
      </c>
      <c r="AA7" t="str">
        <f>B7</f>
        <v>Gosport</v>
      </c>
      <c r="AB7">
        <f>D7*D10</f>
        <v>21</v>
      </c>
      <c r="AC7">
        <f>E7*E10</f>
        <v>0</v>
      </c>
      <c r="AD7">
        <f>F7*F10</f>
        <v>-35</v>
      </c>
      <c r="AH7">
        <f>SUM(AB7:AD7)/Y7</f>
        <v>-0.08</v>
      </c>
      <c r="AI7" t="s">
        <v>15</v>
      </c>
      <c r="AJ7">
        <f>MAX(AH7:AH8)</f>
        <v>-0.08</v>
      </c>
    </row>
    <row r="8" spans="1:36" ht="19.5" thickBot="1" x14ac:dyDescent="0.3">
      <c r="B8" s="35" t="s">
        <v>99</v>
      </c>
      <c r="C8" s="36"/>
      <c r="D8" s="12">
        <v>21</v>
      </c>
      <c r="E8" s="12">
        <v>23</v>
      </c>
      <c r="F8" s="12">
        <v>36</v>
      </c>
      <c r="G8" s="18"/>
      <c r="I8">
        <f>SUM(D8:F8)</f>
        <v>80</v>
      </c>
      <c r="K8" t="str">
        <f>B8</f>
        <v>Fareham</v>
      </c>
      <c r="L8" s="5">
        <f>(D8/$I8)*100</f>
        <v>26.25</v>
      </c>
      <c r="M8" s="5">
        <f t="shared" ref="M8" si="2">(E8/$I8)*100</f>
        <v>28.749999999999996</v>
      </c>
      <c r="N8" s="5">
        <f t="shared" ref="N8" si="3">(F8/$I8)*100</f>
        <v>45</v>
      </c>
      <c r="P8" s="5">
        <f>SUM(L8:N8)</f>
        <v>100</v>
      </c>
      <c r="Q8" s="13"/>
      <c r="R8" t="str">
        <f>B8</f>
        <v>Fareham</v>
      </c>
      <c r="S8">
        <f>D8</f>
        <v>21</v>
      </c>
      <c r="T8">
        <f>E8+S8</f>
        <v>44</v>
      </c>
      <c r="U8">
        <f>F8+T8</f>
        <v>80</v>
      </c>
      <c r="Y8" s="3">
        <f>SUM(D8:F8)</f>
        <v>80</v>
      </c>
      <c r="AA8" t="str">
        <f>B8</f>
        <v>Fareham</v>
      </c>
      <c r="AB8">
        <f>D8*D10</f>
        <v>21</v>
      </c>
      <c r="AC8">
        <f>E8*E10</f>
        <v>0</v>
      </c>
      <c r="AD8">
        <f>F8*F10</f>
        <v>-36</v>
      </c>
      <c r="AH8">
        <f>SUM(AB8:AD8)/Y8</f>
        <v>-0.1875</v>
      </c>
      <c r="AI8" t="s">
        <v>16</v>
      </c>
      <c r="AJ8">
        <f>MIN(AH7:AH8)</f>
        <v>-0.1875</v>
      </c>
    </row>
    <row r="9" spans="1:36" x14ac:dyDescent="0.25">
      <c r="Y9" t="s">
        <v>18</v>
      </c>
      <c r="AH9" t="s">
        <v>10</v>
      </c>
      <c r="AI9" t="s">
        <v>11</v>
      </c>
    </row>
    <row r="10" spans="1:36" ht="18.75" x14ac:dyDescent="0.3">
      <c r="B10" s="8" t="s">
        <v>8</v>
      </c>
      <c r="D10" s="6">
        <v>1</v>
      </c>
      <c r="E10" s="6">
        <v>0</v>
      </c>
      <c r="F10" s="6">
        <v>-1</v>
      </c>
      <c r="G10" s="23"/>
      <c r="R10" t="s">
        <v>17</v>
      </c>
      <c r="S10">
        <f>ABS(S7-S8)</f>
        <v>0</v>
      </c>
      <c r="T10">
        <f t="shared" ref="T10:U10" si="4">ABS(T7-T8)</f>
        <v>96</v>
      </c>
      <c r="U10">
        <f t="shared" si="4"/>
        <v>95</v>
      </c>
      <c r="Y10">
        <f>MAX(S10:U10)</f>
        <v>96</v>
      </c>
      <c r="AA10" t="str">
        <f>AA7</f>
        <v>Gosport</v>
      </c>
      <c r="AB10">
        <f>((D10-$AH7)^2)*D7</f>
        <v>24.494400000000002</v>
      </c>
      <c r="AC10">
        <f>((E10-$AH7)^2)*E7</f>
        <v>0.76160000000000005</v>
      </c>
      <c r="AD10">
        <f>((F10-$AH7)^2)*F7</f>
        <v>29.624000000000002</v>
      </c>
      <c r="AH10">
        <f>(SUM(AB10:AD10))/(Y7-1)</f>
        <v>0.31540229885057475</v>
      </c>
      <c r="AI10" s="5">
        <f>AH10^0.5</f>
        <v>0.56160688996002772</v>
      </c>
    </row>
    <row r="11" spans="1:36" x14ac:dyDescent="0.25">
      <c r="K11" t="s">
        <v>97</v>
      </c>
      <c r="AA11" t="str">
        <f>AA8</f>
        <v>Fareham</v>
      </c>
      <c r="AB11">
        <f>((D10-$AH8)^2)*D8</f>
        <v>29.61328125</v>
      </c>
      <c r="AC11">
        <f>((E10-$AH8)^2)*E8</f>
        <v>0.80859375</v>
      </c>
      <c r="AD11">
        <f>((F10-$AH8)^2)*F8</f>
        <v>23.765625</v>
      </c>
      <c r="AH11">
        <f>(SUM(AC11:AD11))/(Y8-1)</f>
        <v>0.31106606012658228</v>
      </c>
      <c r="AI11" s="5">
        <f>AH11^0.5</f>
        <v>0.55773296489142743</v>
      </c>
    </row>
    <row r="12" spans="1:36" ht="17.25" customHeight="1" x14ac:dyDescent="0.25">
      <c r="A12" s="17"/>
      <c r="B12" s="17"/>
      <c r="C12" s="14" t="s">
        <v>19</v>
      </c>
      <c r="D12" s="14">
        <f>IF(Y7=Y8,Y10,Y16)</f>
        <v>0.25</v>
      </c>
      <c r="E12" s="16"/>
      <c r="G12" t="s">
        <v>60</v>
      </c>
      <c r="I12" t="s">
        <v>62</v>
      </c>
      <c r="J12" s="16"/>
      <c r="K12" s="16" t="s">
        <v>30</v>
      </c>
      <c r="L12" s="31">
        <f>IF(Z26&lt;1,AA26,1)</f>
        <v>2.0920770190257293E-3</v>
      </c>
      <c r="T12" s="4"/>
      <c r="U12" s="4"/>
      <c r="V12" s="4"/>
      <c r="W12" s="4"/>
      <c r="X12" s="4"/>
    </row>
    <row r="13" spans="1:36" ht="15" customHeight="1" x14ac:dyDescent="0.25">
      <c r="A13" s="17"/>
      <c r="B13" s="17"/>
      <c r="G13" t="s">
        <v>59</v>
      </c>
      <c r="H13" s="1">
        <f>IF(MIN(Y7:Y8)&gt;39,AA19,"na")</f>
        <v>0.18354602381185722</v>
      </c>
      <c r="I13" s="22" t="str">
        <f>IF(MIN(Y7:Y8)&gt;39,AB19,"na")</f>
        <v>Yes</v>
      </c>
      <c r="J13" s="16"/>
      <c r="K13" t="s">
        <v>34</v>
      </c>
      <c r="L13" s="1">
        <f>AA24</f>
        <v>1.0460385095128646E-3</v>
      </c>
      <c r="R13" t="str">
        <f>B7</f>
        <v>Gosport</v>
      </c>
      <c r="S13">
        <f t="shared" ref="S13:U14" si="5">S7/$Y7</f>
        <v>0.12</v>
      </c>
      <c r="T13">
        <f t="shared" si="5"/>
        <v>0.8</v>
      </c>
      <c r="U13">
        <f t="shared" si="5"/>
        <v>1</v>
      </c>
      <c r="AH13" t="s">
        <v>12</v>
      </c>
      <c r="AI13">
        <f>AJ7-AJ8</f>
        <v>0.1075</v>
      </c>
    </row>
    <row r="14" spans="1:36" ht="18.75" x14ac:dyDescent="0.3">
      <c r="A14" s="8" t="s">
        <v>20</v>
      </c>
      <c r="B14" s="8"/>
      <c r="C14" s="8" t="s">
        <v>21</v>
      </c>
      <c r="D14" s="7" t="str">
        <f>IF(Y7=Y8,D12/((Y7+Y8)/2),"Use Dmax")</f>
        <v>Use Dmax</v>
      </c>
      <c r="G14" t="s">
        <v>61</v>
      </c>
      <c r="H14" s="1">
        <f>IF(MIN(Y7:Y8)&gt;39,AA20,"na")</f>
        <v>0.2199853079509759</v>
      </c>
      <c r="I14" s="22" t="str">
        <f>IF(MIN(Y7:Y8)&gt;39,AB20,"na")</f>
        <v>Yes</v>
      </c>
      <c r="J14" s="16"/>
      <c r="K14" s="16"/>
      <c r="R14" t="str">
        <f>B8</f>
        <v>Fareham</v>
      </c>
      <c r="S14">
        <f t="shared" si="5"/>
        <v>0.26250000000000001</v>
      </c>
      <c r="T14">
        <f t="shared" si="5"/>
        <v>0.55000000000000004</v>
      </c>
      <c r="U14">
        <f t="shared" si="5"/>
        <v>1</v>
      </c>
      <c r="AH14" t="s">
        <v>13</v>
      </c>
      <c r="AI14">
        <f>((AH10/Y7)+(AH11/Y8))^0.5</f>
        <v>7.5436228711123876E-2</v>
      </c>
    </row>
    <row r="15" spans="1:36" ht="18.75" x14ac:dyDescent="0.3">
      <c r="A15" s="8"/>
      <c r="B15" s="8"/>
      <c r="C15" s="8"/>
      <c r="D15" s="8"/>
      <c r="G15" t="s">
        <v>73</v>
      </c>
      <c r="H15" s="1">
        <f>IF(MIN(Y7:Y8)&gt;39,AA21,"na")</f>
        <v>0.26317260767141293</v>
      </c>
      <c r="I15" s="22" t="str">
        <f>IF(MIN(Y7:Y8)&gt;39,AB21,"na")</f>
        <v>No</v>
      </c>
      <c r="Y15" t="s">
        <v>18</v>
      </c>
      <c r="AH15" t="s">
        <v>14</v>
      </c>
      <c r="AI15" s="15">
        <f>AI13/AI14</f>
        <v>1.4250447276687359</v>
      </c>
    </row>
    <row r="16" spans="1:36" x14ac:dyDescent="0.25">
      <c r="A16" s="37" t="str">
        <f>IF(MIN(Y7:Y8)&lt;50,"Your samples may be a bit too small to trust the results of a t-test","Your samples are large so you may choose to use parametric tests like the t-test and F ratio")</f>
        <v>Your samples are large so you may choose to use parametric tests like the t-test and F ratio</v>
      </c>
      <c r="B16" s="37"/>
      <c r="C16" s="37"/>
      <c r="D16" s="37"/>
      <c r="R16" t="s">
        <v>17</v>
      </c>
      <c r="S16">
        <f>ABS(S13-S14)</f>
        <v>0.14250000000000002</v>
      </c>
      <c r="T16">
        <f t="shared" ref="T16:U16" si="6">ABS(T13-T14)</f>
        <v>0.25</v>
      </c>
      <c r="U16">
        <f t="shared" si="6"/>
        <v>0</v>
      </c>
      <c r="Y16">
        <f>MAX(S16:U16)</f>
        <v>0.25</v>
      </c>
      <c r="AH16" t="s">
        <v>0</v>
      </c>
      <c r="AI16">
        <f>Y7+Y8-2</f>
        <v>253</v>
      </c>
    </row>
    <row r="17" spans="1:38" x14ac:dyDescent="0.25">
      <c r="A17" s="37"/>
      <c r="B17" s="37"/>
      <c r="C17" s="37"/>
      <c r="D17" s="37"/>
      <c r="AJ17" t="s">
        <v>30</v>
      </c>
      <c r="AK17">
        <f>_xlfn.T.DIST.2T(AI15,AI16)</f>
        <v>0.15537671443426634</v>
      </c>
      <c r="AL17">
        <f>IF(AK17&gt;0.001,AK17,"p&lt; 0.001")</f>
        <v>0.15537671443426634</v>
      </c>
    </row>
    <row r="18" spans="1:38" x14ac:dyDescent="0.25">
      <c r="A18" s="37"/>
      <c r="B18" s="37"/>
      <c r="C18" s="37"/>
      <c r="D18" s="37"/>
      <c r="Y18" t="s">
        <v>25</v>
      </c>
      <c r="AA18">
        <f>((Y7+Y8)/(Y7*Y8))^0.5</f>
        <v>0.1349603116263656</v>
      </c>
      <c r="AJ18" t="s">
        <v>34</v>
      </c>
      <c r="AK18">
        <f>AK17/2</f>
        <v>7.7688357217133172E-2</v>
      </c>
      <c r="AL18">
        <f>IF(AK18&gt;0.001,AK18,"p&lt; 0.001")</f>
        <v>7.7688357217133172E-2</v>
      </c>
    </row>
    <row r="19" spans="1:38" x14ac:dyDescent="0.25">
      <c r="Y19">
        <v>0.05</v>
      </c>
      <c r="Z19">
        <v>1.36</v>
      </c>
      <c r="AA19">
        <f>Z19*AA18</f>
        <v>0.18354602381185722</v>
      </c>
      <c r="AB19" t="str">
        <f>IF(Y16&gt;AA19,"Yes","No")</f>
        <v>Yes</v>
      </c>
      <c r="AJ19" t="s">
        <v>35</v>
      </c>
      <c r="AK19">
        <f>_xlfn.NORM.S.INV(AK18)</f>
        <v>-1.420793797343388</v>
      </c>
    </row>
    <row r="20" spans="1:38" ht="18.75" x14ac:dyDescent="0.3">
      <c r="A20" s="10" t="s">
        <v>22</v>
      </c>
      <c r="B20" s="10"/>
      <c r="C20" s="8" t="s">
        <v>26</v>
      </c>
      <c r="D20" s="21">
        <f>IF(MIN(Y7:Y8)&gt;24,AI15,"na")</f>
        <v>1.4250447276687359</v>
      </c>
      <c r="Y20">
        <v>0.01</v>
      </c>
      <c r="Z20">
        <v>1.63</v>
      </c>
      <c r="AA20">
        <f>Z20*AA18</f>
        <v>0.2199853079509759</v>
      </c>
      <c r="AB20" t="str">
        <f>IF(Y16&gt;AA20,"Yes","No")</f>
        <v>Yes</v>
      </c>
      <c r="AJ20" t="s">
        <v>36</v>
      </c>
      <c r="AK20">
        <f>AK19/((Y7+Y8)^0.5)</f>
        <v>-8.8973558851954071E-2</v>
      </c>
    </row>
    <row r="21" spans="1:38" ht="18.75" x14ac:dyDescent="0.3">
      <c r="A21" s="10"/>
      <c r="B21" s="10" t="s">
        <v>23</v>
      </c>
      <c r="C21" s="8" t="s">
        <v>25</v>
      </c>
      <c r="D21" s="21">
        <f>IF(MIN(Y7:Y8)&gt;24,AL17,"na")</f>
        <v>0.15537671443426634</v>
      </c>
      <c r="Y21">
        <v>1E-3</v>
      </c>
      <c r="Z21">
        <v>1.95</v>
      </c>
      <c r="AA21">
        <f>Z21*AA18</f>
        <v>0.26317260767141293</v>
      </c>
      <c r="AB21" t="str">
        <f>IF(Y16&gt;AA21,"Yes","No")</f>
        <v>No</v>
      </c>
      <c r="AJ21" t="s">
        <v>38</v>
      </c>
      <c r="AK21">
        <f>(MAX(AI10:AI11))/(MIN(AI10:AI11))</f>
        <v>1.0069458420291768</v>
      </c>
    </row>
    <row r="22" spans="1:38" ht="18.75" x14ac:dyDescent="0.3">
      <c r="A22" s="10"/>
      <c r="B22" s="10" t="s">
        <v>24</v>
      </c>
      <c r="C22" s="8" t="s">
        <v>25</v>
      </c>
      <c r="D22" s="21">
        <f>IF(MIN(Y7:Y8)&gt;24,AL18,"na")</f>
        <v>7.7688357217133172E-2</v>
      </c>
      <c r="AK22" t="s">
        <v>42</v>
      </c>
      <c r="AL22" t="s">
        <v>43</v>
      </c>
    </row>
    <row r="23" spans="1:38" x14ac:dyDescent="0.25">
      <c r="Y23" t="s">
        <v>31</v>
      </c>
      <c r="Z23">
        <f>(4*(Y16^2))</f>
        <v>0.25</v>
      </c>
      <c r="AA23">
        <f>(Y7*Y8)/(Y7+Y8)</f>
        <v>54.901960784313722</v>
      </c>
      <c r="AB23">
        <f>Z23*AA23</f>
        <v>13.725490196078431</v>
      </c>
      <c r="AJ23" t="s">
        <v>40</v>
      </c>
      <c r="AK23">
        <f>_xlfn.F.INV.RT(0.025,MAX(Y7:Y8)-1,MIN(Y7:Y8)-1)</f>
        <v>1.4796452696102296</v>
      </c>
      <c r="AL23">
        <f>_xlfn.F.INV.RT(0.05,MAX(Y7:Y8)-1,MIN(Y7:Y8)-1)</f>
        <v>1.3882586039892693</v>
      </c>
    </row>
    <row r="24" spans="1:38" ht="15.75" x14ac:dyDescent="0.25">
      <c r="B24" s="7" t="s">
        <v>27</v>
      </c>
      <c r="C24" s="7" t="s">
        <v>28</v>
      </c>
      <c r="Y24" t="s">
        <v>32</v>
      </c>
      <c r="Z24">
        <f>_xlfn.CHISQ.DIST.RT(AB23,2)</f>
        <v>1.0460385095128646E-3</v>
      </c>
      <c r="AA24">
        <f>IF(Z24&gt;0.001,Z24,"p&lt;0.001")</f>
        <v>1.0460385095128646E-3</v>
      </c>
      <c r="AJ24" t="s">
        <v>41</v>
      </c>
      <c r="AK24">
        <f>_xlfn.F.INV.RT(0.005,MAX(Y7:Y8)-1,MIN(Y7:Y8)-1)</f>
        <v>1.6791966489897718</v>
      </c>
      <c r="AL24">
        <f>_xlfn.F.INV.RT(0.01,MAX(Y7:Y8)-1,MIN(Y7:Y8)-1)</f>
        <v>1.5948032287946361</v>
      </c>
    </row>
    <row r="25" spans="1:38" ht="15.75" x14ac:dyDescent="0.25">
      <c r="A25" s="7" t="str">
        <f>B7</f>
        <v>Gosport</v>
      </c>
      <c r="B25" s="1">
        <f>AH7</f>
        <v>-0.08</v>
      </c>
      <c r="C25" s="5">
        <f>AI10</f>
        <v>0.56160688996002772</v>
      </c>
    </row>
    <row r="26" spans="1:38" ht="15.75" x14ac:dyDescent="0.25">
      <c r="A26" s="7" t="str">
        <f>B8</f>
        <v>Fareham</v>
      </c>
      <c r="B26" s="1">
        <f>AH8</f>
        <v>-0.1875</v>
      </c>
      <c r="C26" s="5">
        <f>AI11</f>
        <v>0.55773296489142743</v>
      </c>
      <c r="Y26" t="s">
        <v>33</v>
      </c>
      <c r="Z26">
        <f>Z24*2</f>
        <v>2.0920770190257293E-3</v>
      </c>
      <c r="AA26">
        <f t="shared" ref="AA26" si="7">IF(Z26&gt;0.001,Z26,"p&lt;0.001")</f>
        <v>2.0920770190257293E-3</v>
      </c>
    </row>
    <row r="28" spans="1:38" x14ac:dyDescent="0.25">
      <c r="A28" t="s">
        <v>37</v>
      </c>
      <c r="C28" s="1">
        <f>ABS(AK20)</f>
        <v>8.8973558851954071E-2</v>
      </c>
    </row>
    <row r="30" spans="1:38" x14ac:dyDescent="0.25">
      <c r="D30" t="s">
        <v>30</v>
      </c>
      <c r="E30" t="s">
        <v>34</v>
      </c>
    </row>
    <row r="31" spans="1:38" x14ac:dyDescent="0.25">
      <c r="A31" t="s">
        <v>39</v>
      </c>
      <c r="C31" s="1">
        <f>AK21</f>
        <v>1.0069458420291768</v>
      </c>
      <c r="D31" t="str">
        <f>IF(C31&lt;AK23,"p &gt; 0.05","p&lt;0.05")</f>
        <v>p &gt; 0.05</v>
      </c>
      <c r="E31" t="str">
        <f>IF(C31&lt;AL23,"p &gt; 0.05","p&lt;0.05")</f>
        <v>p &gt; 0.05</v>
      </c>
    </row>
    <row r="32" spans="1:38" x14ac:dyDescent="0.25">
      <c r="D32" t="str">
        <f>IF(C31&lt;AK24,"p &gt; 0.01","p&lt;0.01")</f>
        <v>p &gt; 0.01</v>
      </c>
      <c r="E32" t="str">
        <f>IF(C31&lt;AL24,"p &gt; 0.01","p&lt;0.01")</f>
        <v>p &gt; 0.01</v>
      </c>
    </row>
  </sheetData>
  <mergeCells count="3">
    <mergeCell ref="B7:C7"/>
    <mergeCell ref="B8:C8"/>
    <mergeCell ref="A16:D18"/>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BO36"/>
  <sheetViews>
    <sheetView workbookViewId="0">
      <selection activeCell="P12" sqref="P12"/>
    </sheetView>
  </sheetViews>
  <sheetFormatPr defaultRowHeight="15" x14ac:dyDescent="0.25"/>
  <cols>
    <col min="3" max="3" width="8.5703125" customWidth="1"/>
    <col min="4" max="5" width="8.7109375" customWidth="1"/>
    <col min="6" max="6" width="8.85546875" customWidth="1"/>
    <col min="7" max="7" width="8.7109375" customWidth="1"/>
    <col min="8" max="8" width="8.5703125" customWidth="1"/>
    <col min="9" max="9" width="8.7109375" customWidth="1"/>
    <col min="25" max="25" width="12" bestFit="1" customWidth="1"/>
  </cols>
  <sheetData>
    <row r="6" spans="1:67" ht="15" customHeight="1" x14ac:dyDescent="0.25">
      <c r="B6" s="32"/>
      <c r="C6" s="16"/>
      <c r="D6" s="16"/>
      <c r="E6" s="16"/>
      <c r="F6" s="16"/>
      <c r="G6" s="16"/>
      <c r="H6" s="16"/>
      <c r="I6" s="16"/>
    </row>
    <row r="7" spans="1:67" x14ac:dyDescent="0.25">
      <c r="B7" s="16"/>
      <c r="C7" s="16"/>
      <c r="D7" s="16"/>
      <c r="E7" s="16"/>
      <c r="F7" s="16"/>
      <c r="G7" s="16"/>
      <c r="H7" s="16"/>
      <c r="I7" s="16"/>
    </row>
    <row r="8" spans="1:67" x14ac:dyDescent="0.25">
      <c r="AI8" t="s">
        <v>29</v>
      </c>
    </row>
    <row r="9" spans="1:67" ht="15.75" customHeight="1" thickBot="1" x14ac:dyDescent="0.3"/>
    <row r="10" spans="1:67" ht="19.5" thickBot="1" x14ac:dyDescent="0.3">
      <c r="C10" s="11"/>
      <c r="D10" s="2" t="s">
        <v>81</v>
      </c>
      <c r="E10" s="2" t="s">
        <v>82</v>
      </c>
      <c r="F10" s="2" t="s">
        <v>83</v>
      </c>
      <c r="G10" s="2" t="s">
        <v>84</v>
      </c>
      <c r="H10" s="2" t="s">
        <v>85</v>
      </c>
      <c r="I10" s="2" t="s">
        <v>86</v>
      </c>
      <c r="J10" s="2" t="s">
        <v>87</v>
      </c>
      <c r="K10" s="2" t="s">
        <v>88</v>
      </c>
      <c r="L10" s="2" t="s">
        <v>89</v>
      </c>
      <c r="M10" s="2" t="s">
        <v>90</v>
      </c>
      <c r="N10" s="2" t="s">
        <v>91</v>
      </c>
      <c r="O10" s="2" t="s">
        <v>92</v>
      </c>
      <c r="Q10" s="9" t="s">
        <v>7</v>
      </c>
      <c r="T10" t="str">
        <f>D10</f>
        <v>Jan</v>
      </c>
      <c r="U10" t="str">
        <f t="shared" ref="U10:AE10" si="0">E10</f>
        <v>Feb</v>
      </c>
      <c r="V10" t="str">
        <f t="shared" si="0"/>
        <v>Mar</v>
      </c>
      <c r="W10" t="str">
        <f t="shared" si="0"/>
        <v>Apr</v>
      </c>
      <c r="X10" t="str">
        <f t="shared" si="0"/>
        <v>May</v>
      </c>
      <c r="Y10" t="str">
        <f t="shared" si="0"/>
        <v>Jun</v>
      </c>
      <c r="Z10" t="str">
        <f t="shared" si="0"/>
        <v>Jul</v>
      </c>
      <c r="AA10" t="str">
        <f t="shared" si="0"/>
        <v>Aug</v>
      </c>
      <c r="AB10" t="str">
        <f t="shared" si="0"/>
        <v>Sep</v>
      </c>
      <c r="AC10" t="str">
        <f t="shared" si="0"/>
        <v>Oct</v>
      </c>
      <c r="AD10" t="str">
        <f t="shared" si="0"/>
        <v>Nov</v>
      </c>
      <c r="AE10" t="str">
        <f t="shared" si="0"/>
        <v>Dec</v>
      </c>
      <c r="AJ10" s="4" t="str">
        <f t="shared" ref="AJ10:AU10" si="1">D10</f>
        <v>Jan</v>
      </c>
      <c r="AK10" s="4" t="str">
        <f t="shared" si="1"/>
        <v>Feb</v>
      </c>
      <c r="AL10" s="4" t="str">
        <f t="shared" si="1"/>
        <v>Mar</v>
      </c>
      <c r="AM10" s="4" t="str">
        <f t="shared" si="1"/>
        <v>Apr</v>
      </c>
      <c r="AN10" s="4" t="str">
        <f t="shared" si="1"/>
        <v>May</v>
      </c>
      <c r="AO10" s="4" t="str">
        <f t="shared" si="1"/>
        <v>Jun</v>
      </c>
      <c r="AP10" s="4" t="str">
        <f t="shared" si="1"/>
        <v>Jul</v>
      </c>
      <c r="AQ10" s="4" t="str">
        <f t="shared" si="1"/>
        <v>Aug</v>
      </c>
      <c r="AR10" s="4" t="str">
        <f t="shared" si="1"/>
        <v>Sep</v>
      </c>
      <c r="AS10" s="4" t="str">
        <f t="shared" si="1"/>
        <v>Oct</v>
      </c>
      <c r="AT10" s="4" t="str">
        <f t="shared" si="1"/>
        <v>Nov</v>
      </c>
      <c r="AU10" s="4" t="str">
        <f t="shared" si="1"/>
        <v>Dec</v>
      </c>
      <c r="AV10" s="4"/>
      <c r="AW10" s="2" t="s">
        <v>7</v>
      </c>
      <c r="AX10" s="4"/>
      <c r="AZ10" s="4" t="str">
        <f t="shared" ref="AZ10:BK10" si="2">D10</f>
        <v>Jan</v>
      </c>
      <c r="BA10" s="4" t="str">
        <f t="shared" si="2"/>
        <v>Feb</v>
      </c>
      <c r="BB10" s="4" t="str">
        <f t="shared" si="2"/>
        <v>Mar</v>
      </c>
      <c r="BC10" s="4" t="str">
        <f t="shared" si="2"/>
        <v>Apr</v>
      </c>
      <c r="BD10" s="4" t="str">
        <f t="shared" si="2"/>
        <v>May</v>
      </c>
      <c r="BE10" s="4" t="str">
        <f t="shared" si="2"/>
        <v>Jun</v>
      </c>
      <c r="BF10" s="4" t="str">
        <f t="shared" si="2"/>
        <v>Jul</v>
      </c>
      <c r="BG10" s="4" t="str">
        <f t="shared" si="2"/>
        <v>Aug</v>
      </c>
      <c r="BH10" s="4" t="str">
        <f t="shared" si="2"/>
        <v>Sep</v>
      </c>
      <c r="BI10" s="4" t="str">
        <f t="shared" si="2"/>
        <v>Oct</v>
      </c>
      <c r="BJ10" s="4" t="str">
        <f t="shared" si="2"/>
        <v>Nov</v>
      </c>
      <c r="BK10" s="4" t="str">
        <f t="shared" si="2"/>
        <v>Dec</v>
      </c>
      <c r="BM10" t="s">
        <v>9</v>
      </c>
    </row>
    <row r="11" spans="1:67" ht="19.5" thickBot="1" x14ac:dyDescent="0.3">
      <c r="B11" s="40" t="s">
        <v>93</v>
      </c>
      <c r="C11" s="41"/>
      <c r="D11" s="12">
        <v>2</v>
      </c>
      <c r="E11" s="12">
        <v>5</v>
      </c>
      <c r="F11" s="12">
        <v>4</v>
      </c>
      <c r="G11" s="12">
        <v>9</v>
      </c>
      <c r="H11" s="12">
        <v>10</v>
      </c>
      <c r="I11" s="12">
        <v>15</v>
      </c>
      <c r="J11" s="12">
        <v>21</v>
      </c>
      <c r="K11" s="12">
        <v>22</v>
      </c>
      <c r="L11" s="12">
        <v>12</v>
      </c>
      <c r="M11" s="12">
        <v>8</v>
      </c>
      <c r="N11" s="12">
        <v>5</v>
      </c>
      <c r="O11" s="12">
        <v>2</v>
      </c>
      <c r="Q11">
        <f>SUM(D11:O11)</f>
        <v>115</v>
      </c>
      <c r="S11" t="str">
        <f>B11</f>
        <v>Sample A</v>
      </c>
      <c r="T11" s="5">
        <f>(D11/$Q11)*100</f>
        <v>1.7391304347826086</v>
      </c>
      <c r="U11" s="5">
        <f t="shared" ref="U11:AE12" si="3">(E11/$Q11)*100</f>
        <v>4.3478260869565215</v>
      </c>
      <c r="V11" s="5">
        <f t="shared" si="3"/>
        <v>3.4782608695652173</v>
      </c>
      <c r="W11" s="5">
        <f t="shared" si="3"/>
        <v>7.8260869565217401</v>
      </c>
      <c r="X11" s="5">
        <f t="shared" si="3"/>
        <v>8.695652173913043</v>
      </c>
      <c r="Y11" s="5">
        <f t="shared" si="3"/>
        <v>13.043478260869565</v>
      </c>
      <c r="Z11" s="5">
        <f t="shared" si="3"/>
        <v>18.260869565217391</v>
      </c>
      <c r="AA11" s="5">
        <f t="shared" si="3"/>
        <v>19.130434782608695</v>
      </c>
      <c r="AB11" s="5">
        <f t="shared" si="3"/>
        <v>10.434782608695652</v>
      </c>
      <c r="AC11" s="5">
        <f t="shared" si="3"/>
        <v>6.9565217391304346</v>
      </c>
      <c r="AD11" s="5">
        <f t="shared" si="3"/>
        <v>4.3478260869565215</v>
      </c>
      <c r="AE11" s="5">
        <f t="shared" si="3"/>
        <v>1.7391304347826086</v>
      </c>
      <c r="AI11" t="str">
        <f>B11</f>
        <v>Sample A</v>
      </c>
      <c r="AJ11">
        <f>D11</f>
        <v>2</v>
      </c>
      <c r="AK11">
        <f t="shared" ref="AK11:AU12" si="4">E11+AJ11</f>
        <v>7</v>
      </c>
      <c r="AL11">
        <f t="shared" si="4"/>
        <v>11</v>
      </c>
      <c r="AM11">
        <f t="shared" si="4"/>
        <v>20</v>
      </c>
      <c r="AN11">
        <f t="shared" si="4"/>
        <v>30</v>
      </c>
      <c r="AO11">
        <f t="shared" si="4"/>
        <v>45</v>
      </c>
      <c r="AP11">
        <f t="shared" si="4"/>
        <v>66</v>
      </c>
      <c r="AQ11">
        <f t="shared" si="4"/>
        <v>88</v>
      </c>
      <c r="AR11">
        <f t="shared" si="4"/>
        <v>100</v>
      </c>
      <c r="AS11">
        <f t="shared" si="4"/>
        <v>108</v>
      </c>
      <c r="AT11">
        <f t="shared" si="4"/>
        <v>113</v>
      </c>
      <c r="AU11">
        <f t="shared" si="4"/>
        <v>115</v>
      </c>
      <c r="AW11" s="3">
        <f>SUM(D11:O11)</f>
        <v>115</v>
      </c>
      <c r="AY11" t="str">
        <f>B11</f>
        <v>Sample A</v>
      </c>
      <c r="AZ11">
        <f t="shared" ref="AZ11:BK11" si="5">D11*D14</f>
        <v>2</v>
      </c>
      <c r="BA11">
        <f t="shared" si="5"/>
        <v>10</v>
      </c>
      <c r="BB11">
        <f t="shared" si="5"/>
        <v>12</v>
      </c>
      <c r="BC11">
        <f t="shared" si="5"/>
        <v>36</v>
      </c>
      <c r="BD11">
        <f t="shared" si="5"/>
        <v>50</v>
      </c>
      <c r="BE11">
        <f t="shared" si="5"/>
        <v>90</v>
      </c>
      <c r="BF11">
        <f t="shared" si="5"/>
        <v>147</v>
      </c>
      <c r="BG11">
        <f t="shared" si="5"/>
        <v>176</v>
      </c>
      <c r="BH11">
        <f t="shared" si="5"/>
        <v>108</v>
      </c>
      <c r="BI11">
        <f t="shared" si="5"/>
        <v>80</v>
      </c>
      <c r="BJ11">
        <f t="shared" si="5"/>
        <v>55</v>
      </c>
      <c r="BK11">
        <f t="shared" si="5"/>
        <v>24</v>
      </c>
      <c r="BM11">
        <f>SUM(AZ11:BK11)/AW11</f>
        <v>6.8695652173913047</v>
      </c>
      <c r="BN11" t="s">
        <v>15</v>
      </c>
      <c r="BO11">
        <f>MAX(BM11:BM12)</f>
        <v>6.8695652173913047</v>
      </c>
    </row>
    <row r="12" spans="1:67" ht="19.5" thickBot="1" x14ac:dyDescent="0.3">
      <c r="B12" s="40" t="s">
        <v>94</v>
      </c>
      <c r="C12" s="41"/>
      <c r="D12" s="12">
        <v>0</v>
      </c>
      <c r="E12" s="12">
        <v>5</v>
      </c>
      <c r="F12" s="12">
        <v>7</v>
      </c>
      <c r="G12" s="12">
        <v>15</v>
      </c>
      <c r="H12" s="12">
        <v>18</v>
      </c>
      <c r="I12" s="12">
        <v>24</v>
      </c>
      <c r="J12" s="12">
        <v>17</v>
      </c>
      <c r="K12" s="12">
        <v>8</v>
      </c>
      <c r="L12" s="12">
        <v>5</v>
      </c>
      <c r="M12" s="12">
        <v>1</v>
      </c>
      <c r="N12" s="12">
        <v>2</v>
      </c>
      <c r="O12" s="12">
        <v>0</v>
      </c>
      <c r="Q12">
        <f>SUM(D12:O12)</f>
        <v>102</v>
      </c>
      <c r="S12" t="str">
        <f>B12</f>
        <v>Sample B</v>
      </c>
      <c r="T12" s="5">
        <f>(D12/$Q12)*100</f>
        <v>0</v>
      </c>
      <c r="U12" s="5">
        <f t="shared" si="3"/>
        <v>4.9019607843137258</v>
      </c>
      <c r="V12" s="5">
        <f t="shared" si="3"/>
        <v>6.8627450980392162</v>
      </c>
      <c r="W12" s="5">
        <f t="shared" si="3"/>
        <v>14.705882352941178</v>
      </c>
      <c r="X12" s="5">
        <f t="shared" si="3"/>
        <v>17.647058823529413</v>
      </c>
      <c r="Y12" s="5">
        <f t="shared" si="3"/>
        <v>23.52941176470588</v>
      </c>
      <c r="Z12" s="5">
        <f t="shared" si="3"/>
        <v>16.666666666666664</v>
      </c>
      <c r="AA12" s="5">
        <f t="shared" si="3"/>
        <v>7.8431372549019605</v>
      </c>
      <c r="AB12" s="5">
        <f t="shared" si="3"/>
        <v>4.9019607843137258</v>
      </c>
      <c r="AC12" s="5">
        <f t="shared" si="3"/>
        <v>0.98039215686274506</v>
      </c>
      <c r="AD12" s="5">
        <f t="shared" si="3"/>
        <v>1.9607843137254901</v>
      </c>
      <c r="AE12" s="5">
        <f t="shared" si="3"/>
        <v>0</v>
      </c>
      <c r="AI12" t="str">
        <f>B12</f>
        <v>Sample B</v>
      </c>
      <c r="AJ12">
        <f>D12</f>
        <v>0</v>
      </c>
      <c r="AK12">
        <f t="shared" si="4"/>
        <v>5</v>
      </c>
      <c r="AL12">
        <f t="shared" si="4"/>
        <v>12</v>
      </c>
      <c r="AM12">
        <f t="shared" si="4"/>
        <v>27</v>
      </c>
      <c r="AN12">
        <f t="shared" si="4"/>
        <v>45</v>
      </c>
      <c r="AO12">
        <f t="shared" si="4"/>
        <v>69</v>
      </c>
      <c r="AP12">
        <f t="shared" si="4"/>
        <v>86</v>
      </c>
      <c r="AQ12">
        <f t="shared" si="4"/>
        <v>94</v>
      </c>
      <c r="AR12">
        <f t="shared" si="4"/>
        <v>99</v>
      </c>
      <c r="AS12">
        <f t="shared" si="4"/>
        <v>100</v>
      </c>
      <c r="AT12">
        <f t="shared" si="4"/>
        <v>102</v>
      </c>
      <c r="AU12">
        <f t="shared" si="4"/>
        <v>102</v>
      </c>
      <c r="AW12" s="3">
        <f>SUM(D12:O12)</f>
        <v>102</v>
      </c>
      <c r="AY12" t="str">
        <f>B12</f>
        <v>Sample B</v>
      </c>
      <c r="AZ12">
        <f t="shared" ref="AZ12:BK12" si="6">D12*D14</f>
        <v>0</v>
      </c>
      <c r="BA12">
        <f t="shared" si="6"/>
        <v>10</v>
      </c>
      <c r="BB12">
        <f t="shared" si="6"/>
        <v>21</v>
      </c>
      <c r="BC12">
        <f t="shared" si="6"/>
        <v>60</v>
      </c>
      <c r="BD12">
        <f t="shared" si="6"/>
        <v>90</v>
      </c>
      <c r="BE12">
        <f t="shared" si="6"/>
        <v>144</v>
      </c>
      <c r="BF12">
        <f t="shared" si="6"/>
        <v>119</v>
      </c>
      <c r="BG12">
        <f t="shared" si="6"/>
        <v>64</v>
      </c>
      <c r="BH12">
        <f t="shared" si="6"/>
        <v>45</v>
      </c>
      <c r="BI12">
        <f t="shared" si="6"/>
        <v>10</v>
      </c>
      <c r="BJ12">
        <f t="shared" si="6"/>
        <v>22</v>
      </c>
      <c r="BK12">
        <f t="shared" si="6"/>
        <v>0</v>
      </c>
      <c r="BM12">
        <f>SUM(AZ12:BK12)/AW12</f>
        <v>5.7352941176470589</v>
      </c>
      <c r="BN12" t="s">
        <v>16</v>
      </c>
      <c r="BO12">
        <f>MIN(BM11:BM12)</f>
        <v>5.7352941176470589</v>
      </c>
    </row>
    <row r="13" spans="1:67" x14ac:dyDescent="0.25">
      <c r="AW13" t="s">
        <v>18</v>
      </c>
      <c r="BM13" t="s">
        <v>10</v>
      </c>
      <c r="BN13" t="s">
        <v>11</v>
      </c>
    </row>
    <row r="14" spans="1:67" ht="18.75" x14ac:dyDescent="0.3">
      <c r="B14" s="8" t="s">
        <v>8</v>
      </c>
      <c r="D14" s="6">
        <v>1</v>
      </c>
      <c r="E14" s="6">
        <v>2</v>
      </c>
      <c r="F14" s="6">
        <v>3</v>
      </c>
      <c r="G14" s="6">
        <v>4</v>
      </c>
      <c r="H14" s="6">
        <v>5</v>
      </c>
      <c r="I14" s="6">
        <v>6</v>
      </c>
      <c r="J14" s="6">
        <v>7</v>
      </c>
      <c r="K14" s="6">
        <v>8</v>
      </c>
      <c r="L14" s="6">
        <v>9</v>
      </c>
      <c r="M14" s="6">
        <v>10</v>
      </c>
      <c r="N14" s="6">
        <v>11</v>
      </c>
      <c r="O14" s="6">
        <v>12</v>
      </c>
      <c r="AI14" t="s">
        <v>17</v>
      </c>
      <c r="AJ14">
        <f>ABS(AJ11-AJ12)</f>
        <v>2</v>
      </c>
      <c r="AK14">
        <f t="shared" ref="AK14:AR14" si="7">ABS(AK11-AK12)</f>
        <v>2</v>
      </c>
      <c r="AL14">
        <f t="shared" si="7"/>
        <v>1</v>
      </c>
      <c r="AM14">
        <f t="shared" si="7"/>
        <v>7</v>
      </c>
      <c r="AN14">
        <f t="shared" si="7"/>
        <v>15</v>
      </c>
      <c r="AO14">
        <f t="shared" si="7"/>
        <v>24</v>
      </c>
      <c r="AP14">
        <f t="shared" si="7"/>
        <v>20</v>
      </c>
      <c r="AQ14">
        <f t="shared" si="7"/>
        <v>6</v>
      </c>
      <c r="AR14">
        <f t="shared" si="7"/>
        <v>1</v>
      </c>
      <c r="AS14">
        <f t="shared" ref="AS14:AU14" si="8">ABS(AS11-AS12)</f>
        <v>8</v>
      </c>
      <c r="AT14">
        <f t="shared" si="8"/>
        <v>11</v>
      </c>
      <c r="AU14">
        <f t="shared" si="8"/>
        <v>13</v>
      </c>
      <c r="AW14">
        <f>MAX(AJ14:AU14)</f>
        <v>24</v>
      </c>
      <c r="AY14" t="str">
        <f>AY11</f>
        <v>Sample A</v>
      </c>
      <c r="AZ14">
        <f t="shared" ref="AZ14:BK14" si="9">((D14-$BM11)^2)*D11</f>
        <v>68.903591682419673</v>
      </c>
      <c r="BA14">
        <f t="shared" si="9"/>
        <v>118.56332703213612</v>
      </c>
      <c r="BB14">
        <f t="shared" si="9"/>
        <v>59.894139886578458</v>
      </c>
      <c r="BC14">
        <f t="shared" si="9"/>
        <v>74.109640831758043</v>
      </c>
      <c r="BD14">
        <f t="shared" si="9"/>
        <v>34.952741020793965</v>
      </c>
      <c r="BE14">
        <f t="shared" si="9"/>
        <v>11.342155009451805</v>
      </c>
      <c r="BF14">
        <f t="shared" si="9"/>
        <v>0.35727788279772987</v>
      </c>
      <c r="BG14">
        <f t="shared" si="9"/>
        <v>28.113421550094504</v>
      </c>
      <c r="BH14">
        <f t="shared" si="9"/>
        <v>54.465028355387503</v>
      </c>
      <c r="BI14">
        <f t="shared" si="9"/>
        <v>78.396975425330794</v>
      </c>
      <c r="BJ14">
        <f t="shared" si="9"/>
        <v>85.302457466918696</v>
      </c>
      <c r="BK14">
        <f t="shared" si="9"/>
        <v>52.642722117202261</v>
      </c>
      <c r="BM14">
        <f>(SUM(AZ14:BK14))/(AW11-1)</f>
        <v>5.8512585812356983</v>
      </c>
      <c r="BN14" s="5">
        <f>BM14^0.5</f>
        <v>2.4189374901463863</v>
      </c>
    </row>
    <row r="15" spans="1:67" x14ac:dyDescent="0.25">
      <c r="AY15" t="str">
        <f>AY12</f>
        <v>Sample B</v>
      </c>
      <c r="AZ15">
        <f t="shared" ref="AZ15:BK15" si="10">((D14-$BM12)^2)*D12</f>
        <v>0</v>
      </c>
      <c r="BA15">
        <f t="shared" si="10"/>
        <v>69.762110726643598</v>
      </c>
      <c r="BB15">
        <f t="shared" si="10"/>
        <v>52.372837370242216</v>
      </c>
      <c r="BC15">
        <f t="shared" si="10"/>
        <v>45.168685121107266</v>
      </c>
      <c r="BD15">
        <f t="shared" si="10"/>
        <v>9.7318339100346041</v>
      </c>
      <c r="BE15">
        <f t="shared" si="10"/>
        <v>1.6816608996539788</v>
      </c>
      <c r="BF15">
        <f t="shared" si="10"/>
        <v>27.191176470588232</v>
      </c>
      <c r="BG15">
        <f t="shared" si="10"/>
        <v>41.031141868512108</v>
      </c>
      <c r="BH15">
        <f t="shared" si="10"/>
        <v>53.291522491349482</v>
      </c>
      <c r="BI15">
        <f t="shared" si="10"/>
        <v>18.18771626297578</v>
      </c>
      <c r="BJ15">
        <f t="shared" si="10"/>
        <v>55.434256055363321</v>
      </c>
      <c r="BK15">
        <f t="shared" si="10"/>
        <v>0</v>
      </c>
      <c r="BM15">
        <f>(SUM(AZ15:BK15))/(AW12-1)</f>
        <v>3.7015142690739666</v>
      </c>
      <c r="BN15" s="5">
        <f>BM15^0.5</f>
        <v>1.9239319814052591</v>
      </c>
    </row>
    <row r="16" spans="1:67" ht="17.25" customHeight="1" x14ac:dyDescent="0.25">
      <c r="A16" s="17"/>
      <c r="B16" s="17"/>
      <c r="C16" s="14" t="s">
        <v>19</v>
      </c>
      <c r="D16" s="14">
        <f>IF(AW11=AW12,AW14,AW20)</f>
        <v>0.28516624040920718</v>
      </c>
      <c r="E16" s="16"/>
      <c r="G16" t="s">
        <v>60</v>
      </c>
      <c r="I16" t="s">
        <v>62</v>
      </c>
      <c r="J16" s="16"/>
      <c r="K16" s="16"/>
      <c r="AJ16" s="4"/>
      <c r="AK16" s="4"/>
      <c r="AL16" s="4"/>
      <c r="AM16" s="4"/>
      <c r="AN16" s="4"/>
      <c r="AO16" s="4"/>
      <c r="AP16" s="4"/>
      <c r="AQ16" s="4"/>
      <c r="AR16" s="4"/>
      <c r="AS16" s="4"/>
      <c r="AT16" s="4"/>
      <c r="AU16" s="4"/>
    </row>
    <row r="17" spans="1:59" ht="15" customHeight="1" x14ac:dyDescent="0.25">
      <c r="A17" s="17"/>
      <c r="B17" s="17"/>
      <c r="G17" t="s">
        <v>59</v>
      </c>
      <c r="H17" s="1">
        <f>IF(MIN(AW11:AW12)&gt;39,AQ23,"na")</f>
        <v>0.18497786784965087</v>
      </c>
      <c r="I17" s="22" t="str">
        <f>IF(MIN(AW11:AW12)&gt;39,AR23,"na")</f>
        <v>Yes</v>
      </c>
      <c r="J17" s="16"/>
      <c r="K17" s="16"/>
      <c r="L17" s="16" t="s">
        <v>30</v>
      </c>
      <c r="M17" s="31" t="str">
        <f>IF(AP30&lt;1,AQ30,1)</f>
        <v>p&lt; 0.001</v>
      </c>
      <c r="AI17" t="str">
        <f>B11</f>
        <v>Sample A</v>
      </c>
      <c r="AJ17">
        <f t="shared" ref="AJ17:AU17" si="11">AJ11/$AW11</f>
        <v>1.7391304347826087E-2</v>
      </c>
      <c r="AK17">
        <f t="shared" si="11"/>
        <v>6.0869565217391307E-2</v>
      </c>
      <c r="AL17">
        <f t="shared" si="11"/>
        <v>9.5652173913043481E-2</v>
      </c>
      <c r="AM17">
        <f t="shared" si="11"/>
        <v>0.17391304347826086</v>
      </c>
      <c r="AN17">
        <f t="shared" si="11"/>
        <v>0.2608695652173913</v>
      </c>
      <c r="AO17">
        <f t="shared" si="11"/>
        <v>0.39130434782608697</v>
      </c>
      <c r="AP17">
        <f t="shared" si="11"/>
        <v>0.57391304347826089</v>
      </c>
      <c r="AQ17">
        <f t="shared" si="11"/>
        <v>0.76521739130434785</v>
      </c>
      <c r="AR17">
        <f t="shared" si="11"/>
        <v>0.86956521739130432</v>
      </c>
      <c r="AS17">
        <f t="shared" si="11"/>
        <v>0.93913043478260871</v>
      </c>
      <c r="AT17">
        <f t="shared" si="11"/>
        <v>0.9826086956521739</v>
      </c>
      <c r="AU17">
        <f t="shared" si="11"/>
        <v>1</v>
      </c>
      <c r="BF17" t="s">
        <v>12</v>
      </c>
      <c r="BG17">
        <f>BO11-BO12</f>
        <v>1.1342710997442458</v>
      </c>
    </row>
    <row r="18" spans="1:59" ht="18.75" x14ac:dyDescent="0.3">
      <c r="A18" s="8" t="s">
        <v>20</v>
      </c>
      <c r="B18" s="8"/>
      <c r="C18" s="8" t="s">
        <v>21</v>
      </c>
      <c r="D18" s="21" t="str">
        <f>IF(AW11=AW12,D16/((AW11+AW12)/2),"Use Dmax")</f>
        <v>Use Dmax</v>
      </c>
      <c r="G18" t="s">
        <v>61</v>
      </c>
      <c r="H18" s="1">
        <f>IF(MIN(AW11:AW12)&gt;39,AQ24,"na")</f>
        <v>0.22170141514333153</v>
      </c>
      <c r="I18" s="22" t="str">
        <f>IF(MIN(AW11:AW12)&gt;39,AR24,"na")</f>
        <v>Yes</v>
      </c>
      <c r="J18" s="16"/>
      <c r="K18" s="16"/>
      <c r="L18" t="s">
        <v>34</v>
      </c>
      <c r="M18" s="1" t="str">
        <f>AQ28</f>
        <v>p&lt; 0.001</v>
      </c>
      <c r="AI18" t="str">
        <f>B12</f>
        <v>Sample B</v>
      </c>
      <c r="AJ18">
        <f t="shared" ref="AJ18:AU18" si="12">AJ12/$AW12</f>
        <v>0</v>
      </c>
      <c r="AK18">
        <f t="shared" si="12"/>
        <v>4.9019607843137254E-2</v>
      </c>
      <c r="AL18">
        <f t="shared" si="12"/>
        <v>0.11764705882352941</v>
      </c>
      <c r="AM18">
        <f t="shared" si="12"/>
        <v>0.26470588235294118</v>
      </c>
      <c r="AN18">
        <f t="shared" si="12"/>
        <v>0.44117647058823528</v>
      </c>
      <c r="AO18">
        <f t="shared" si="12"/>
        <v>0.67647058823529416</v>
      </c>
      <c r="AP18">
        <f t="shared" si="12"/>
        <v>0.84313725490196079</v>
      </c>
      <c r="AQ18">
        <f t="shared" si="12"/>
        <v>0.92156862745098034</v>
      </c>
      <c r="AR18">
        <f t="shared" si="12"/>
        <v>0.97058823529411764</v>
      </c>
      <c r="AS18">
        <f t="shared" si="12"/>
        <v>0.98039215686274506</v>
      </c>
      <c r="AT18">
        <f t="shared" si="12"/>
        <v>1</v>
      </c>
      <c r="AU18">
        <f t="shared" si="12"/>
        <v>1</v>
      </c>
      <c r="BF18" t="s">
        <v>13</v>
      </c>
      <c r="BG18">
        <f>((BM14/AW11)+(BM15/AW12))^0.5</f>
        <v>0.29524543177025803</v>
      </c>
    </row>
    <row r="19" spans="1:59" ht="18.75" x14ac:dyDescent="0.3">
      <c r="A19" s="8"/>
      <c r="B19" s="8"/>
      <c r="C19" s="8"/>
      <c r="D19" s="8"/>
      <c r="G19" t="s">
        <v>73</v>
      </c>
      <c r="H19" s="1">
        <f>IF(MIN(AW11:AW12)&gt;39,AQ25,"na")</f>
        <v>0.2652256193432494</v>
      </c>
      <c r="I19" s="22" t="str">
        <f>IF(MIN(AW11:AW12)&gt;39,AR25,"na")</f>
        <v>Yes</v>
      </c>
      <c r="AW19" t="s">
        <v>18</v>
      </c>
      <c r="BF19" t="s">
        <v>14</v>
      </c>
      <c r="BG19" s="15">
        <f>BG17/BG18</f>
        <v>3.8417905162606081</v>
      </c>
    </row>
    <row r="20" spans="1:59" x14ac:dyDescent="0.25">
      <c r="A20" s="37" t="str">
        <f>IF(MIN(AW11:AW12)&lt;50,"Your samples may be a bit too small to trust the results of a t-test","Your samples are large so you may choose to use parametric tests like the t-test and F ratio")</f>
        <v>Your samples are large so you may choose to use parametric tests like the t-test and F ratio</v>
      </c>
      <c r="B20" s="37"/>
      <c r="C20" s="37"/>
      <c r="D20" s="37"/>
      <c r="AI20" t="s">
        <v>17</v>
      </c>
      <c r="AJ20">
        <f>ABS(AJ17-AJ18)</f>
        <v>1.7391304347826087E-2</v>
      </c>
      <c r="AK20">
        <f t="shared" ref="AK20:AR20" si="13">ABS(AK17-AK18)</f>
        <v>1.1849957374254053E-2</v>
      </c>
      <c r="AL20">
        <f t="shared" si="13"/>
        <v>2.1994884910485929E-2</v>
      </c>
      <c r="AM20">
        <f t="shared" si="13"/>
        <v>9.0792838874680315E-2</v>
      </c>
      <c r="AN20">
        <f t="shared" si="13"/>
        <v>0.18030690537084398</v>
      </c>
      <c r="AO20">
        <f t="shared" si="13"/>
        <v>0.28516624040920718</v>
      </c>
      <c r="AP20">
        <f t="shared" si="13"/>
        <v>0.2692242114236999</v>
      </c>
      <c r="AQ20">
        <f t="shared" si="13"/>
        <v>0.15635123614663249</v>
      </c>
      <c r="AR20">
        <f t="shared" si="13"/>
        <v>0.10102301790281332</v>
      </c>
      <c r="AS20">
        <f t="shared" ref="AS20:AU20" si="14">ABS(AS17-AS18)</f>
        <v>4.1261722080136343E-2</v>
      </c>
      <c r="AT20">
        <f t="shared" si="14"/>
        <v>1.7391304347826098E-2</v>
      </c>
      <c r="AU20">
        <f t="shared" si="14"/>
        <v>0</v>
      </c>
      <c r="AW20">
        <f>MAX(AJ20:AU20)</f>
        <v>0.28516624040920718</v>
      </c>
      <c r="BF20" t="s">
        <v>0</v>
      </c>
      <c r="BG20">
        <f>AW11+AW12-2</f>
        <v>215</v>
      </c>
    </row>
    <row r="21" spans="1:59" x14ac:dyDescent="0.25">
      <c r="A21" s="37"/>
      <c r="B21" s="37"/>
      <c r="C21" s="37"/>
      <c r="D21" s="37"/>
      <c r="AZ21" t="s">
        <v>30</v>
      </c>
      <c r="BA21">
        <f>_xlfn.T.DIST.2T(BG19,BG20)</f>
        <v>1.6075703747186714E-4</v>
      </c>
      <c r="BB21" t="str">
        <f>IF(BA21&gt;0.001,BA21,"p&lt;0.001")</f>
        <v>p&lt;0.001</v>
      </c>
    </row>
    <row r="22" spans="1:59" x14ac:dyDescent="0.25">
      <c r="A22" s="37"/>
      <c r="B22" s="37"/>
      <c r="C22" s="37"/>
      <c r="D22" s="37"/>
      <c r="AO22" t="s">
        <v>25</v>
      </c>
      <c r="AQ22">
        <f>((AW11+AW12)/(AW11*AW12))^0.5</f>
        <v>0.13601313812474328</v>
      </c>
      <c r="AZ22" t="s">
        <v>34</v>
      </c>
      <c r="BA22">
        <f>BA21/2</f>
        <v>8.037851873593357E-5</v>
      </c>
      <c r="BB22" t="str">
        <f>IF(BA22&gt;0.001,BA22,"p&lt;0.001")</f>
        <v>p&lt;0.001</v>
      </c>
    </row>
    <row r="23" spans="1:59" x14ac:dyDescent="0.25">
      <c r="AO23">
        <v>0.05</v>
      </c>
      <c r="AP23">
        <v>1.36</v>
      </c>
      <c r="AQ23">
        <f>AP23*AQ22</f>
        <v>0.18497786784965087</v>
      </c>
      <c r="AR23" t="str">
        <f>IF(AW20&gt;AQ23,"Yes","No")</f>
        <v>Yes</v>
      </c>
      <c r="AZ23" t="s">
        <v>35</v>
      </c>
      <c r="BA23">
        <f>_xlfn.NORM.S.INV(BA22)</f>
        <v>-3.7738351036369955</v>
      </c>
    </row>
    <row r="24" spans="1:59" ht="18.75" x14ac:dyDescent="0.3">
      <c r="A24" s="10" t="s">
        <v>22</v>
      </c>
      <c r="B24" s="10"/>
      <c r="C24" s="8" t="s">
        <v>26</v>
      </c>
      <c r="D24" s="21">
        <f>IF(MIN(AW11:AW12)&gt;24,BG19,"na")</f>
        <v>3.8417905162606081</v>
      </c>
      <c r="AO24">
        <v>0.01</v>
      </c>
      <c r="AP24">
        <v>1.63</v>
      </c>
      <c r="AQ24">
        <f>AP24*AQ22</f>
        <v>0.22170141514333153</v>
      </c>
      <c r="AR24" t="str">
        <f>IF(AW20&gt;AQ24,"Yes","No")</f>
        <v>Yes</v>
      </c>
      <c r="AZ24" t="s">
        <v>36</v>
      </c>
      <c r="BA24">
        <f>BA23/((AW11+AW12)^0.5)</f>
        <v>-0.25618461975371232</v>
      </c>
    </row>
    <row r="25" spans="1:59" ht="18.75" x14ac:dyDescent="0.3">
      <c r="A25" s="10"/>
      <c r="B25" s="10" t="s">
        <v>23</v>
      </c>
      <c r="C25" s="8" t="s">
        <v>25</v>
      </c>
      <c r="D25" s="21" t="str">
        <f>IF(MIN(AW11:AW12)&gt;24,BB21,"na")</f>
        <v>p&lt;0.001</v>
      </c>
      <c r="AO25">
        <v>1E-3</v>
      </c>
      <c r="AP25">
        <v>1.95</v>
      </c>
      <c r="AQ25">
        <f>AP25*AQ22</f>
        <v>0.2652256193432494</v>
      </c>
      <c r="AR25" t="str">
        <f>IF(AW20&gt;AQ25,"Yes","No")</f>
        <v>Yes</v>
      </c>
      <c r="AZ25" t="s">
        <v>38</v>
      </c>
      <c r="BA25">
        <f>(MAX(BM14:BM15))/(MIN(BM14:BM15))</f>
        <v>1.5807742874646673</v>
      </c>
    </row>
    <row r="26" spans="1:59" ht="18.75" x14ac:dyDescent="0.3">
      <c r="A26" s="10"/>
      <c r="B26" s="10" t="s">
        <v>24</v>
      </c>
      <c r="C26" s="8" t="s">
        <v>25</v>
      </c>
      <c r="D26" s="21" t="str">
        <f>IF(MIN(AW11:AW12)&gt;24,BB22,"na")</f>
        <v>p&lt;0.001</v>
      </c>
      <c r="BA26" t="s">
        <v>42</v>
      </c>
      <c r="BB26" t="s">
        <v>43</v>
      </c>
    </row>
    <row r="27" spans="1:59" x14ac:dyDescent="0.25">
      <c r="AO27" t="s">
        <v>31</v>
      </c>
      <c r="AP27">
        <f>(4*(AW20^2))</f>
        <v>0.325279138676487</v>
      </c>
      <c r="AQ27">
        <f>(AW11*AW12)/(AW11+AW12)</f>
        <v>54.055299539170505</v>
      </c>
      <c r="AR27">
        <f>AP27*AQ27</f>
        <v>17.583061275000887</v>
      </c>
      <c r="AZ27" t="s">
        <v>40</v>
      </c>
      <c r="BA27">
        <f>_xlfn.F.INV.RT(0.025,MAX(AW11:AW12)-1,MIN(AW11:AW12)-1)</f>
        <v>1.4666954611962979</v>
      </c>
      <c r="BB27">
        <f>_xlfn.F.INV.RT(0.05,MAX(AW11:AW12)-1,MIN(AW11:AW12)-1)</f>
        <v>1.3786071439746037</v>
      </c>
    </row>
    <row r="28" spans="1:59" ht="15.75" x14ac:dyDescent="0.25">
      <c r="B28" s="7" t="s">
        <v>27</v>
      </c>
      <c r="C28" s="7" t="s">
        <v>28</v>
      </c>
      <c r="AO28" t="s">
        <v>32</v>
      </c>
      <c r="AP28">
        <f>_xlfn.CHISQ.DIST.RT(AR27,2)</f>
        <v>1.5201510949279471E-4</v>
      </c>
      <c r="AQ28" t="str">
        <f>IF(AP28&gt;0.001,AP28,"p&lt; 0.001")</f>
        <v>p&lt; 0.001</v>
      </c>
      <c r="AZ28" t="s">
        <v>41</v>
      </c>
      <c r="BA28">
        <f>_xlfn.F.INV.RT(0.005,MAX(AW11:AW12)-1,MIN(AW11:AW12)-1)</f>
        <v>1.6566990422872672</v>
      </c>
      <c r="BB28">
        <f>_xlfn.F.INV.RT(0.01,MAX(AW11:AW12)-1,MIN(AW11:AW12)-1)</f>
        <v>1.5767250165430817</v>
      </c>
    </row>
    <row r="29" spans="1:59" ht="15.75" x14ac:dyDescent="0.25">
      <c r="A29" s="7" t="str">
        <f>B11</f>
        <v>Sample A</v>
      </c>
      <c r="B29" s="1">
        <f>BM11</f>
        <v>6.8695652173913047</v>
      </c>
      <c r="C29" s="5">
        <f>BN14</f>
        <v>2.4189374901463863</v>
      </c>
    </row>
    <row r="30" spans="1:59" ht="15.75" x14ac:dyDescent="0.25">
      <c r="A30" s="7" t="str">
        <f>B12</f>
        <v>Sample B</v>
      </c>
      <c r="B30" s="1">
        <f>BM12</f>
        <v>5.7352941176470589</v>
      </c>
      <c r="C30" s="5">
        <f>BN15</f>
        <v>1.9239319814052591</v>
      </c>
      <c r="AO30" t="s">
        <v>33</v>
      </c>
      <c r="AP30">
        <f>AP28*2</f>
        <v>3.0403021898558943E-4</v>
      </c>
      <c r="AQ30" t="str">
        <f t="shared" ref="AQ30" si="15">IF(AP30&gt;0.001,AP30,"p&lt; 0.001")</f>
        <v>p&lt; 0.001</v>
      </c>
    </row>
    <row r="32" spans="1:59" x14ac:dyDescent="0.25">
      <c r="A32" t="s">
        <v>37</v>
      </c>
      <c r="C32" s="1">
        <f>ABS(BA24)</f>
        <v>0.25618461975371232</v>
      </c>
    </row>
    <row r="34" spans="1:5" x14ac:dyDescent="0.25">
      <c r="D34" t="s">
        <v>30</v>
      </c>
      <c r="E34" t="s">
        <v>34</v>
      </c>
    </row>
    <row r="35" spans="1:5" x14ac:dyDescent="0.25">
      <c r="A35" t="s">
        <v>39</v>
      </c>
      <c r="C35" s="1">
        <f>BA25</f>
        <v>1.5807742874646673</v>
      </c>
      <c r="D35" t="str">
        <f>IF(C35&lt;BA27,"p &gt; 0.05","p&lt;0.05")</f>
        <v>p&lt;0.05</v>
      </c>
      <c r="E35" t="str">
        <f>IF(C35&lt;BB27,"p &gt; 0.05","p&lt;0.05")</f>
        <v>p&lt;0.05</v>
      </c>
    </row>
    <row r="36" spans="1:5" x14ac:dyDescent="0.25">
      <c r="D36" t="str">
        <f>IF(C35&lt;BA28,"p &gt; 0.01","p&lt;0.01")</f>
        <v>p &gt; 0.01</v>
      </c>
      <c r="E36" t="str">
        <f>IF(C35&lt;BB28,"p &gt; 0.01","p&lt;0.01")</f>
        <v>p&lt;0.01</v>
      </c>
    </row>
  </sheetData>
  <mergeCells count="3">
    <mergeCell ref="B11:C11"/>
    <mergeCell ref="B12:C12"/>
    <mergeCell ref="A20:D2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B22" sqref="A1:B22"/>
    </sheetView>
  </sheetViews>
  <sheetFormatPr defaultRowHeight="15" x14ac:dyDescent="0.25"/>
  <sheetData>
    <row r="1" spans="1:9" x14ac:dyDescent="0.25">
      <c r="A1" t="s">
        <v>69</v>
      </c>
      <c r="B1" s="27">
        <v>1</v>
      </c>
    </row>
    <row r="2" spans="1:9" x14ac:dyDescent="0.25">
      <c r="A2" t="s">
        <v>69</v>
      </c>
      <c r="B2" s="27">
        <v>1</v>
      </c>
    </row>
    <row r="3" spans="1:9" ht="15.75" thickBot="1" x14ac:dyDescent="0.3">
      <c r="A3" t="s">
        <v>69</v>
      </c>
      <c r="B3" s="27">
        <v>1</v>
      </c>
    </row>
    <row r="4" spans="1:9" ht="32.25" thickBot="1" x14ac:dyDescent="0.3">
      <c r="A4" t="s">
        <v>69</v>
      </c>
      <c r="B4" s="27">
        <v>1</v>
      </c>
      <c r="E4" s="18"/>
      <c r="F4" s="19" t="s">
        <v>55</v>
      </c>
      <c r="G4" s="2" t="s">
        <v>56</v>
      </c>
      <c r="H4" s="2" t="s">
        <v>57</v>
      </c>
      <c r="I4" s="2" t="s">
        <v>58</v>
      </c>
    </row>
    <row r="5" spans="1:9" ht="19.5" thickBot="1" x14ac:dyDescent="0.3">
      <c r="A5" t="s">
        <v>69</v>
      </c>
      <c r="B5" s="27">
        <v>1</v>
      </c>
      <c r="D5" s="35" t="s">
        <v>49</v>
      </c>
      <c r="E5" s="36"/>
      <c r="F5" s="12">
        <v>5</v>
      </c>
      <c r="G5" s="12">
        <v>3</v>
      </c>
      <c r="H5" s="12">
        <v>2</v>
      </c>
      <c r="I5" s="12">
        <v>1</v>
      </c>
    </row>
    <row r="6" spans="1:9" ht="19.5" thickBot="1" x14ac:dyDescent="0.3">
      <c r="A6" t="s">
        <v>69</v>
      </c>
      <c r="B6" s="27">
        <v>2</v>
      </c>
      <c r="D6" s="35" t="s">
        <v>50</v>
      </c>
      <c r="E6" s="36"/>
      <c r="F6" s="12">
        <v>1</v>
      </c>
      <c r="G6" s="12">
        <v>2</v>
      </c>
      <c r="H6" s="12">
        <v>3</v>
      </c>
      <c r="I6" s="12">
        <v>5</v>
      </c>
    </row>
    <row r="7" spans="1:9" x14ac:dyDescent="0.25">
      <c r="A7" t="s">
        <v>69</v>
      </c>
      <c r="B7" s="27">
        <v>2</v>
      </c>
    </row>
    <row r="8" spans="1:9" x14ac:dyDescent="0.25">
      <c r="A8" t="s">
        <v>69</v>
      </c>
      <c r="B8" s="27">
        <v>2</v>
      </c>
      <c r="F8">
        <v>1</v>
      </c>
      <c r="G8">
        <v>2</v>
      </c>
      <c r="H8">
        <v>3</v>
      </c>
      <c r="I8">
        <v>4</v>
      </c>
    </row>
    <row r="9" spans="1:9" x14ac:dyDescent="0.25">
      <c r="A9" t="s">
        <v>69</v>
      </c>
      <c r="B9" s="27">
        <v>3</v>
      </c>
    </row>
    <row r="10" spans="1:9" x14ac:dyDescent="0.25">
      <c r="A10" t="s">
        <v>69</v>
      </c>
      <c r="B10" s="27">
        <v>3</v>
      </c>
    </row>
    <row r="11" spans="1:9" x14ac:dyDescent="0.25">
      <c r="A11" t="s">
        <v>69</v>
      </c>
      <c r="B11" s="27">
        <v>4</v>
      </c>
    </row>
    <row r="12" spans="1:9" x14ac:dyDescent="0.25">
      <c r="A12" t="s">
        <v>70</v>
      </c>
      <c r="B12" s="27">
        <v>1</v>
      </c>
    </row>
    <row r="13" spans="1:9" x14ac:dyDescent="0.25">
      <c r="A13" t="s">
        <v>70</v>
      </c>
      <c r="B13" s="27">
        <v>2</v>
      </c>
    </row>
    <row r="14" spans="1:9" x14ac:dyDescent="0.25">
      <c r="A14" t="s">
        <v>70</v>
      </c>
      <c r="B14" s="27">
        <v>2</v>
      </c>
    </row>
    <row r="15" spans="1:9" x14ac:dyDescent="0.25">
      <c r="A15" t="s">
        <v>70</v>
      </c>
      <c r="B15" s="27">
        <v>3</v>
      </c>
    </row>
    <row r="16" spans="1:9" x14ac:dyDescent="0.25">
      <c r="A16" t="s">
        <v>70</v>
      </c>
      <c r="B16" s="27">
        <v>3</v>
      </c>
    </row>
    <row r="17" spans="1:4" x14ac:dyDescent="0.25">
      <c r="A17" t="s">
        <v>70</v>
      </c>
      <c r="B17" s="27">
        <v>3</v>
      </c>
      <c r="C17" s="1"/>
      <c r="D17" s="1"/>
    </row>
    <row r="18" spans="1:4" x14ac:dyDescent="0.25">
      <c r="A18" t="s">
        <v>70</v>
      </c>
      <c r="B18" s="27">
        <v>4</v>
      </c>
      <c r="C18" s="1"/>
      <c r="D18" s="1"/>
    </row>
    <row r="19" spans="1:4" x14ac:dyDescent="0.25">
      <c r="A19" t="s">
        <v>70</v>
      </c>
      <c r="B19" s="27">
        <v>4</v>
      </c>
      <c r="C19" s="1"/>
      <c r="D19" s="1"/>
    </row>
    <row r="20" spans="1:4" x14ac:dyDescent="0.25">
      <c r="A20" t="s">
        <v>70</v>
      </c>
      <c r="B20" s="27">
        <v>4</v>
      </c>
      <c r="C20" s="1"/>
      <c r="D20" s="1"/>
    </row>
    <row r="21" spans="1:4" x14ac:dyDescent="0.25">
      <c r="A21" t="s">
        <v>70</v>
      </c>
      <c r="B21" s="27">
        <v>4</v>
      </c>
      <c r="C21" s="1"/>
      <c r="D21" s="1"/>
    </row>
    <row r="22" spans="1:4" x14ac:dyDescent="0.25">
      <c r="A22" t="s">
        <v>70</v>
      </c>
      <c r="B22" s="27">
        <v>4</v>
      </c>
      <c r="C22" s="1"/>
      <c r="D22" s="1"/>
    </row>
    <row r="23" spans="1:4" x14ac:dyDescent="0.25">
      <c r="B23" s="1"/>
      <c r="C23" s="1"/>
      <c r="D23" s="1"/>
    </row>
    <row r="24" spans="1:4" x14ac:dyDescent="0.25">
      <c r="B24" s="1"/>
      <c r="C24" s="1"/>
      <c r="D24" s="1"/>
    </row>
    <row r="25" spans="1:4" x14ac:dyDescent="0.25">
      <c r="B25" s="1"/>
      <c r="C25" s="1"/>
      <c r="D25" s="1"/>
    </row>
    <row r="26" spans="1:4" x14ac:dyDescent="0.25">
      <c r="B26" s="1"/>
      <c r="C26" s="1"/>
      <c r="D26" s="1"/>
    </row>
  </sheetData>
  <mergeCells count="2">
    <mergeCell ref="D5:E5"/>
    <mergeCell ref="D6:E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8"/>
  <sheetViews>
    <sheetView topLeftCell="A2" workbookViewId="0">
      <selection activeCell="J2" sqref="A1:J1048576"/>
    </sheetView>
  </sheetViews>
  <sheetFormatPr defaultRowHeight="15" x14ac:dyDescent="0.25"/>
  <cols>
    <col min="1" max="10" width="9.140625" style="24"/>
  </cols>
  <sheetData>
    <row r="4" spans="2:9" ht="18.75" x14ac:dyDescent="0.25">
      <c r="C4" s="18"/>
      <c r="D4" s="13"/>
      <c r="E4" s="13"/>
      <c r="F4" s="13"/>
      <c r="G4" s="13"/>
      <c r="H4" s="13"/>
      <c r="I4" s="13"/>
    </row>
    <row r="5" spans="2:9" ht="18.75" x14ac:dyDescent="0.25">
      <c r="B5" s="40"/>
      <c r="C5" s="40"/>
      <c r="D5" s="18"/>
      <c r="E5" s="18"/>
      <c r="F5" s="18"/>
      <c r="G5" s="18"/>
      <c r="H5" s="18"/>
      <c r="I5" s="18"/>
    </row>
    <row r="6" spans="2:9" ht="18.75" x14ac:dyDescent="0.25">
      <c r="B6" s="40"/>
      <c r="C6" s="40"/>
      <c r="D6" s="18"/>
      <c r="E6" s="18"/>
      <c r="F6" s="18"/>
      <c r="G6" s="18"/>
      <c r="H6" s="18"/>
      <c r="I6" s="18"/>
    </row>
    <row r="8" spans="2:9" ht="18.75" x14ac:dyDescent="0.3">
      <c r="B8" s="25"/>
      <c r="D8" s="23"/>
      <c r="E8" s="23"/>
      <c r="F8" s="23"/>
      <c r="G8" s="23"/>
      <c r="H8" s="23"/>
      <c r="I8" s="23"/>
    </row>
  </sheetData>
  <mergeCells count="2">
    <mergeCell ref="B5:C5"/>
    <mergeCell ref="B6:C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N11"/>
  <sheetViews>
    <sheetView workbookViewId="0">
      <selection activeCell="N1" sqref="A1:N1048576"/>
    </sheetView>
  </sheetViews>
  <sheetFormatPr defaultRowHeight="15" x14ac:dyDescent="0.25"/>
  <cols>
    <col min="1" max="14" width="9.140625" style="24"/>
  </cols>
  <sheetData>
    <row r="6" spans="3:5" ht="18.75" x14ac:dyDescent="0.25">
      <c r="C6" s="26"/>
      <c r="D6" s="18"/>
      <c r="E6" s="18"/>
    </row>
    <row r="7" spans="3:5" ht="18.75" x14ac:dyDescent="0.25">
      <c r="C7" s="26"/>
      <c r="D7" s="18"/>
      <c r="E7" s="18"/>
    </row>
    <row r="8" spans="3:5" ht="18.75" x14ac:dyDescent="0.25">
      <c r="C8" s="26"/>
      <c r="D8" s="18"/>
      <c r="E8" s="18"/>
    </row>
    <row r="9" spans="3:5" ht="18.75" x14ac:dyDescent="0.25">
      <c r="C9" s="26"/>
      <c r="D9" s="18"/>
      <c r="E9" s="18"/>
    </row>
    <row r="10" spans="3:5" ht="18.75" x14ac:dyDescent="0.25">
      <c r="C10" s="26"/>
      <c r="D10" s="18"/>
      <c r="E10" s="18"/>
    </row>
    <row r="11" spans="3:5" ht="18.75" x14ac:dyDescent="0.25">
      <c r="C11" s="26"/>
      <c r="D11" s="18"/>
      <c r="E11"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34"/>
  <sheetViews>
    <sheetView zoomScale="80" zoomScaleNormal="80" workbookViewId="0">
      <selection activeCell="I8" sqref="I8"/>
    </sheetView>
  </sheetViews>
  <sheetFormatPr defaultRowHeight="15" x14ac:dyDescent="0.25"/>
  <cols>
    <col min="3" max="3" width="8.5703125" customWidth="1"/>
    <col min="4" max="5" width="8.7109375" customWidth="1"/>
    <col min="6" max="6" width="8.85546875" customWidth="1"/>
    <col min="7" max="7" width="8.7109375" customWidth="1"/>
    <col min="8" max="8" width="8.5703125" customWidth="1"/>
    <col min="9" max="9" width="8.7109375" customWidth="1"/>
    <col min="25" max="25" width="12" bestFit="1" customWidth="1"/>
  </cols>
  <sheetData>
    <row r="2" spans="1:36" ht="15" customHeight="1" x14ac:dyDescent="0.25">
      <c r="B2" s="32"/>
      <c r="C2" s="16"/>
      <c r="D2" s="16"/>
      <c r="E2" s="16"/>
      <c r="F2" s="16"/>
      <c r="G2" s="16"/>
      <c r="H2" s="16"/>
      <c r="I2" s="16"/>
    </row>
    <row r="3" spans="1:36" x14ac:dyDescent="0.25">
      <c r="B3" s="16"/>
      <c r="C3" s="16"/>
      <c r="D3" s="16"/>
      <c r="E3" s="16"/>
      <c r="F3" s="16"/>
      <c r="G3" s="16"/>
      <c r="H3" s="16"/>
      <c r="I3" s="16"/>
    </row>
    <row r="4" spans="1:36" x14ac:dyDescent="0.25">
      <c r="S4" t="s">
        <v>29</v>
      </c>
    </row>
    <row r="5" spans="1:36" ht="15.75" customHeight="1" thickBot="1" x14ac:dyDescent="0.3">
      <c r="L5" t="s">
        <v>77</v>
      </c>
    </row>
    <row r="6" spans="1:36" ht="32.25" thickBot="1" x14ac:dyDescent="0.3">
      <c r="C6" s="18"/>
      <c r="D6" s="19" t="s">
        <v>101</v>
      </c>
      <c r="E6" s="2" t="s">
        <v>103</v>
      </c>
      <c r="F6" s="2" t="s">
        <v>102</v>
      </c>
      <c r="G6" s="2" t="s">
        <v>104</v>
      </c>
      <c r="I6" s="9" t="s">
        <v>7</v>
      </c>
      <c r="J6" s="9"/>
      <c r="K6" s="9"/>
      <c r="L6" s="9" t="str">
        <f>D6</f>
        <v>Group 1-3</v>
      </c>
      <c r="M6" s="9" t="str">
        <f t="shared" ref="M6:O6" si="0">E6</f>
        <v>Group 4-5</v>
      </c>
      <c r="N6" s="9" t="str">
        <f t="shared" si="0"/>
        <v>Group 6-7-</v>
      </c>
      <c r="O6" s="9" t="str">
        <f t="shared" si="0"/>
        <v>Group 8-9</v>
      </c>
      <c r="P6" s="9"/>
      <c r="Q6" s="13"/>
      <c r="S6" s="4" t="str">
        <f>D6</f>
        <v>Group 1-3</v>
      </c>
      <c r="T6" s="4" t="str">
        <f>E6</f>
        <v>Group 4-5</v>
      </c>
      <c r="U6" s="4" t="str">
        <f t="shared" ref="U6:V6" si="1">F6</f>
        <v>Group 6-7-</v>
      </c>
      <c r="V6" s="4" t="str">
        <f t="shared" si="1"/>
        <v>Group 8-9</v>
      </c>
      <c r="W6" s="4"/>
      <c r="X6" s="4"/>
      <c r="Y6" s="2" t="s">
        <v>7</v>
      </c>
      <c r="Z6" s="4"/>
      <c r="AB6" s="4" t="str">
        <f>D6</f>
        <v>Group 1-3</v>
      </c>
      <c r="AC6" s="4" t="str">
        <f>E6</f>
        <v>Group 4-5</v>
      </c>
      <c r="AD6" s="4" t="str">
        <f>F6</f>
        <v>Group 6-7-</v>
      </c>
      <c r="AE6" s="4" t="str">
        <f>G6</f>
        <v>Group 8-9</v>
      </c>
      <c r="AF6" s="4"/>
      <c r="AH6" t="s">
        <v>9</v>
      </c>
    </row>
    <row r="7" spans="1:36" ht="19.5" thickBot="1" x14ac:dyDescent="0.3">
      <c r="B7" s="35" t="s">
        <v>100</v>
      </c>
      <c r="C7" s="36"/>
      <c r="D7" s="12">
        <v>13</v>
      </c>
      <c r="E7" s="12">
        <v>28</v>
      </c>
      <c r="F7" s="12">
        <v>119</v>
      </c>
      <c r="G7" s="12">
        <v>11</v>
      </c>
      <c r="I7">
        <f>SUM(D7:G7)</f>
        <v>171</v>
      </c>
      <c r="K7" t="str">
        <f>B7</f>
        <v>Gosport</v>
      </c>
      <c r="L7" s="5">
        <f>(D7/$I7)*100</f>
        <v>7.6023391812865491</v>
      </c>
      <c r="M7" s="5">
        <f t="shared" ref="M7:O7" si="2">(E7/$I7)*100</f>
        <v>16.374269005847953</v>
      </c>
      <c r="N7" s="5">
        <f t="shared" si="2"/>
        <v>69.590643274853804</v>
      </c>
      <c r="O7" s="5">
        <f t="shared" si="2"/>
        <v>6.4327485380116958</v>
      </c>
      <c r="Q7" s="13"/>
      <c r="R7" t="str">
        <f>B7</f>
        <v>Gosport</v>
      </c>
      <c r="S7">
        <f>D7</f>
        <v>13</v>
      </c>
      <c r="T7">
        <f>E7+S7</f>
        <v>41</v>
      </c>
      <c r="U7">
        <f t="shared" ref="U7:V7" si="3">F7+T7</f>
        <v>160</v>
      </c>
      <c r="V7">
        <f t="shared" si="3"/>
        <v>171</v>
      </c>
      <c r="Y7" s="3">
        <f>SUM(D7:G7)</f>
        <v>171</v>
      </c>
      <c r="AA7" t="str">
        <f>B7</f>
        <v>Gosport</v>
      </c>
      <c r="AB7">
        <f>D7*D10</f>
        <v>52</v>
      </c>
      <c r="AC7">
        <f>E7*E10</f>
        <v>84</v>
      </c>
      <c r="AD7">
        <f t="shared" ref="AD7:AE7" si="4">F7*F10</f>
        <v>238</v>
      </c>
      <c r="AE7">
        <f t="shared" si="4"/>
        <v>11</v>
      </c>
      <c r="AH7">
        <f>SUM(AB7:AE7)/Y7</f>
        <v>2.2514619883040936</v>
      </c>
      <c r="AI7" t="s">
        <v>15</v>
      </c>
      <c r="AJ7">
        <f>MAX(AH7:AH8)</f>
        <v>2.7402597402597402</v>
      </c>
    </row>
    <row r="8" spans="1:36" ht="19.5" thickBot="1" x14ac:dyDescent="0.3">
      <c r="B8" s="35" t="s">
        <v>99</v>
      </c>
      <c r="C8" s="36"/>
      <c r="D8" s="12">
        <v>16</v>
      </c>
      <c r="E8" s="12">
        <v>25</v>
      </c>
      <c r="F8" s="12">
        <v>36</v>
      </c>
      <c r="G8" s="12">
        <v>0</v>
      </c>
      <c r="I8">
        <f>SUM(D8:G8)</f>
        <v>77</v>
      </c>
      <c r="K8" t="str">
        <f>B8</f>
        <v>Fareham</v>
      </c>
      <c r="L8" s="5">
        <f>(D8/$I8)*100</f>
        <v>20.779220779220779</v>
      </c>
      <c r="M8" s="5">
        <f t="shared" ref="M8" si="5">(E8/$I8)*100</f>
        <v>32.467532467532465</v>
      </c>
      <c r="N8" s="5">
        <f t="shared" ref="N8" si="6">(F8/$I8)*100</f>
        <v>46.753246753246749</v>
      </c>
      <c r="O8" s="5">
        <f t="shared" ref="O8" si="7">(G8/$I8)*100</f>
        <v>0</v>
      </c>
      <c r="Q8" s="13"/>
      <c r="R8" t="str">
        <f>B8</f>
        <v>Fareham</v>
      </c>
      <c r="S8">
        <f>D8</f>
        <v>16</v>
      </c>
      <c r="T8">
        <f>E8+S8</f>
        <v>41</v>
      </c>
      <c r="U8">
        <f t="shared" ref="U8:V8" si="8">F8+T8</f>
        <v>77</v>
      </c>
      <c r="V8">
        <f t="shared" si="8"/>
        <v>77</v>
      </c>
      <c r="Y8" s="3">
        <f>SUM(D8:G8)</f>
        <v>77</v>
      </c>
      <c r="AA8" t="str">
        <f>B8</f>
        <v>Fareham</v>
      </c>
      <c r="AB8">
        <f>D8*D10</f>
        <v>64</v>
      </c>
      <c r="AC8">
        <f>E8*E10</f>
        <v>75</v>
      </c>
      <c r="AD8">
        <f t="shared" ref="AD8:AE8" si="9">F8*F10</f>
        <v>72</v>
      </c>
      <c r="AE8">
        <f t="shared" si="9"/>
        <v>0</v>
      </c>
      <c r="AH8">
        <f>SUM(AB8:AE8)/Y8</f>
        <v>2.7402597402597402</v>
      </c>
      <c r="AI8" t="s">
        <v>16</v>
      </c>
      <c r="AJ8">
        <f>MIN(AH7:AH8)</f>
        <v>2.2514619883040936</v>
      </c>
    </row>
    <row r="9" spans="1:36" x14ac:dyDescent="0.25">
      <c r="Y9" t="s">
        <v>18</v>
      </c>
      <c r="AH9" t="s">
        <v>10</v>
      </c>
      <c r="AI9" t="s">
        <v>11</v>
      </c>
    </row>
    <row r="10" spans="1:36" ht="18.75" x14ac:dyDescent="0.3">
      <c r="B10" s="8" t="s">
        <v>8</v>
      </c>
      <c r="D10" s="6">
        <v>4</v>
      </c>
      <c r="E10" s="6">
        <v>3</v>
      </c>
      <c r="F10" s="6">
        <v>2</v>
      </c>
      <c r="G10" s="6">
        <v>1</v>
      </c>
      <c r="R10" t="s">
        <v>17</v>
      </c>
      <c r="S10">
        <f>ABS(S7-S8)</f>
        <v>3</v>
      </c>
      <c r="T10">
        <f t="shared" ref="T10" si="10">ABS(T7-T8)</f>
        <v>0</v>
      </c>
      <c r="U10">
        <f t="shared" ref="U10:V10" si="11">ABS(U7-U8)</f>
        <v>83</v>
      </c>
      <c r="V10">
        <f t="shared" si="11"/>
        <v>94</v>
      </c>
      <c r="Y10">
        <f>MAX(S10:V10)</f>
        <v>94</v>
      </c>
      <c r="AA10" t="str">
        <f>AA7</f>
        <v>Gosport</v>
      </c>
      <c r="AB10">
        <f>((D10-$AH7)^2)*D7</f>
        <v>39.746007318491152</v>
      </c>
      <c r="AC10">
        <f>((E10-$AH7)^2)*E7</f>
        <v>15.688656338702504</v>
      </c>
      <c r="AD10">
        <f t="shared" ref="AD10:AE10" si="12">((F10-$AH7)^2)*F7</f>
        <v>7.5247426558599244</v>
      </c>
      <c r="AE10">
        <f t="shared" si="12"/>
        <v>17.22772818987039</v>
      </c>
      <c r="AH10">
        <f>(SUM(AB10:AE10))/(Y7-1)</f>
        <v>0.47168902648778804</v>
      </c>
      <c r="AI10" s="5">
        <f>AH10^0.5</f>
        <v>0.68679620447974821</v>
      </c>
    </row>
    <row r="11" spans="1:36" x14ac:dyDescent="0.25">
      <c r="K11" t="s">
        <v>97</v>
      </c>
      <c r="AA11" t="str">
        <f>AA8</f>
        <v>Fareham</v>
      </c>
      <c r="AB11">
        <f>((D10-$AH8)^2)*D8</f>
        <v>25.391128352167318</v>
      </c>
      <c r="AC11">
        <f>((E10-$AH8)^2)*E8</f>
        <v>1.6866250632484412</v>
      </c>
      <c r="AD11">
        <f t="shared" ref="AD11:AE11" si="13">((F10-$AH8)^2)*F8</f>
        <v>19.727441389779045</v>
      </c>
      <c r="AE11">
        <f t="shared" si="13"/>
        <v>0</v>
      </c>
      <c r="AH11">
        <f>(SUM(AC11:AE11))/(Y8-1)</f>
        <v>0.28176403227667746</v>
      </c>
      <c r="AI11" s="5">
        <f>AH11^0.5</f>
        <v>0.53081449893223287</v>
      </c>
    </row>
    <row r="12" spans="1:36" ht="17.25" customHeight="1" x14ac:dyDescent="0.25">
      <c r="A12" s="17"/>
      <c r="B12" s="17"/>
      <c r="C12" s="14" t="s">
        <v>19</v>
      </c>
      <c r="D12" s="14">
        <f>IF(Y7=Y8,Y10,Y16)</f>
        <v>0.29270145059618741</v>
      </c>
      <c r="E12" s="16"/>
      <c r="F12" t="s">
        <v>60</v>
      </c>
      <c r="H12" t="s">
        <v>62</v>
      </c>
      <c r="I12" s="16"/>
      <c r="J12" s="16"/>
      <c r="K12" s="16" t="s">
        <v>30</v>
      </c>
      <c r="L12" s="31" t="str">
        <f>IF(Z26&lt;1,AA26,1)</f>
        <v>p&lt; 0.001</v>
      </c>
      <c r="T12" s="4"/>
      <c r="U12" s="4"/>
      <c r="V12" s="4"/>
      <c r="W12" s="4"/>
      <c r="X12" s="4"/>
    </row>
    <row r="13" spans="1:36" ht="15" customHeight="1" x14ac:dyDescent="0.25">
      <c r="A13" s="17"/>
      <c r="B13" s="17"/>
      <c r="F13" t="s">
        <v>59</v>
      </c>
      <c r="G13" s="1">
        <f>IF(MIN(Y7:Y8)&gt;39,AA19,"na")</f>
        <v>0.18664713630212781</v>
      </c>
      <c r="H13" s="22" t="str">
        <f>IF(MIN(Y7:Y8)&gt;39,AB19,"na")</f>
        <v>Yes</v>
      </c>
      <c r="I13" s="16"/>
      <c r="J13" s="16"/>
      <c r="K13" t="s">
        <v>34</v>
      </c>
      <c r="L13" s="1" t="str">
        <f>AA24</f>
        <v>p&lt; 0.001</v>
      </c>
      <c r="R13" t="str">
        <f>B7</f>
        <v>Gosport</v>
      </c>
      <c r="S13">
        <f>S7/$Y7</f>
        <v>7.6023391812865493E-2</v>
      </c>
      <c r="T13">
        <f>T7/$Y7</f>
        <v>0.23976608187134502</v>
      </c>
      <c r="U13">
        <f t="shared" ref="U13:V13" si="14">U7/$Y7</f>
        <v>0.93567251461988299</v>
      </c>
      <c r="V13">
        <f t="shared" si="14"/>
        <v>1</v>
      </c>
      <c r="AH13" t="s">
        <v>12</v>
      </c>
      <c r="AI13">
        <f>AJ7-AJ8</f>
        <v>0.48879775195564656</v>
      </c>
    </row>
    <row r="14" spans="1:36" ht="18.75" x14ac:dyDescent="0.3">
      <c r="A14" s="8" t="s">
        <v>20</v>
      </c>
      <c r="B14" s="8"/>
      <c r="C14" s="8" t="s">
        <v>21</v>
      </c>
      <c r="D14" s="7" t="str">
        <f>IF(Y7=Y8,D12/((Y7+Y8)/2),"Use Dmax")</f>
        <v>Use Dmax</v>
      </c>
      <c r="F14" t="s">
        <v>61</v>
      </c>
      <c r="G14" s="1">
        <f>IF(MIN(Y7:Y8)&gt;39,AA20,"na")</f>
        <v>0.22370208247975609</v>
      </c>
      <c r="H14" s="22" t="str">
        <f>IF(MIN(Y7:Y8)&gt;39,AB20,"na")</f>
        <v>Yes</v>
      </c>
      <c r="I14" s="16"/>
      <c r="J14" s="16"/>
      <c r="K14" s="16"/>
      <c r="R14" t="str">
        <f>B8</f>
        <v>Fareham</v>
      </c>
      <c r="S14">
        <f>S8/$Y8</f>
        <v>0.20779220779220781</v>
      </c>
      <c r="T14">
        <f>T8/$Y8</f>
        <v>0.53246753246753242</v>
      </c>
      <c r="U14">
        <f t="shared" ref="U14:V14" si="15">U8/$Y8</f>
        <v>1</v>
      </c>
      <c r="V14">
        <f t="shared" si="15"/>
        <v>1</v>
      </c>
      <c r="AH14" t="s">
        <v>13</v>
      </c>
      <c r="AI14">
        <f>((AH10/Y7)+(AH11/Y8))^0.5</f>
        <v>8.0110476880543305E-2</v>
      </c>
    </row>
    <row r="15" spans="1:36" ht="18.75" x14ac:dyDescent="0.3">
      <c r="A15" s="8"/>
      <c r="B15" s="8"/>
      <c r="C15" s="8"/>
      <c r="D15" s="8"/>
      <c r="F15" t="s">
        <v>73</v>
      </c>
      <c r="G15" s="1">
        <f>IF(MIN(Y7:Y8)&gt;39,AA21,"na")</f>
        <v>0.26761905572731559</v>
      </c>
      <c r="H15" s="22" t="str">
        <f>IF(MIN(Y7:Y8)&gt;39,AB21,"na")</f>
        <v>Yes</v>
      </c>
      <c r="Y15" t="s">
        <v>18</v>
      </c>
      <c r="AH15" t="s">
        <v>14</v>
      </c>
      <c r="AI15" s="15">
        <f>AI13/AI14</f>
        <v>6.1015459024731191</v>
      </c>
    </row>
    <row r="16" spans="1:36" x14ac:dyDescent="0.25">
      <c r="A16" s="37" t="str">
        <f>IF(MIN(Y7:Y8)&lt;50,"Your samples may be a bit too small to trust the results of a t-test","Your samples are large so you may choose to use parametric tests like the t-test and F ratio")</f>
        <v>Your samples are large so you may choose to use parametric tests like the t-test and F ratio</v>
      </c>
      <c r="B16" s="37"/>
      <c r="C16" s="37"/>
      <c r="D16" s="37"/>
      <c r="R16" t="s">
        <v>17</v>
      </c>
      <c r="S16">
        <f>ABS(S13-S14)</f>
        <v>0.13176881597934231</v>
      </c>
      <c r="T16">
        <f t="shared" ref="T16" si="16">ABS(T13-T14)</f>
        <v>0.29270145059618741</v>
      </c>
      <c r="U16">
        <f t="shared" ref="U16:V16" si="17">ABS(U13-U14)</f>
        <v>6.4327485380117011E-2</v>
      </c>
      <c r="V16">
        <f t="shared" si="17"/>
        <v>0</v>
      </c>
      <c r="Y16">
        <f>MAX(S16:V16)</f>
        <v>0.29270145059618741</v>
      </c>
      <c r="AH16" t="s">
        <v>0</v>
      </c>
      <c r="AI16">
        <f>Y7+Y8-2</f>
        <v>246</v>
      </c>
    </row>
    <row r="17" spans="1:38" x14ac:dyDescent="0.25">
      <c r="A17" s="37"/>
      <c r="B17" s="37"/>
      <c r="C17" s="37"/>
      <c r="D17" s="37"/>
      <c r="AJ17" t="s">
        <v>30</v>
      </c>
      <c r="AK17">
        <f>_xlfn.T.DIST.2T(AI15,AI16)</f>
        <v>4.0538993680122413E-9</v>
      </c>
      <c r="AL17" t="str">
        <f>IF(AK17&gt;0.001,AK17,"p&lt; 0.001")</f>
        <v>p&lt; 0.001</v>
      </c>
    </row>
    <row r="18" spans="1:38" x14ac:dyDescent="0.25">
      <c r="A18" s="37"/>
      <c r="B18" s="37"/>
      <c r="C18" s="37"/>
      <c r="D18" s="37"/>
      <c r="Y18" t="s">
        <v>25</v>
      </c>
      <c r="AA18">
        <f>((Y7+Y8)/(Y7*Y8))^0.5</f>
        <v>0.13724054139862338</v>
      </c>
      <c r="AJ18" t="s">
        <v>34</v>
      </c>
      <c r="AK18">
        <f>AK17/2</f>
        <v>2.0269496840061206E-9</v>
      </c>
      <c r="AL18" t="str">
        <f>IF(AK18&gt;0.001,AK18,"p&lt; 0.001")</f>
        <v>p&lt; 0.001</v>
      </c>
    </row>
    <row r="19" spans="1:38" x14ac:dyDescent="0.25">
      <c r="Y19">
        <v>0.05</v>
      </c>
      <c r="Z19">
        <v>1.36</v>
      </c>
      <c r="AA19">
        <f>Z19*AA18</f>
        <v>0.18664713630212781</v>
      </c>
      <c r="AB19" t="str">
        <f>IF(Y16&gt;AA19,"Yes","No")</f>
        <v>Yes</v>
      </c>
      <c r="AJ19" t="s">
        <v>35</v>
      </c>
      <c r="AK19">
        <f>_xlfn.NORM.S.INV(AK18)</f>
        <v>-5.8819789388123986</v>
      </c>
    </row>
    <row r="20" spans="1:38" ht="18.75" x14ac:dyDescent="0.3">
      <c r="A20" s="10" t="s">
        <v>22</v>
      </c>
      <c r="B20" s="10"/>
      <c r="C20" s="8" t="s">
        <v>26</v>
      </c>
      <c r="D20" s="21">
        <f>IF(MIN(Y7:Y8)&gt;24,AI15,"na")</f>
        <v>6.1015459024731191</v>
      </c>
      <c r="Y20">
        <v>0.01</v>
      </c>
      <c r="Z20">
        <v>1.63</v>
      </c>
      <c r="AA20">
        <f>Z20*AA18</f>
        <v>0.22370208247975609</v>
      </c>
      <c r="AB20" t="str">
        <f>IF(Y16&gt;AA20,"Yes","No")</f>
        <v>Yes</v>
      </c>
      <c r="AJ20" t="s">
        <v>36</v>
      </c>
      <c r="AK20">
        <f>AK19/((Y7+Y8)^0.5)</f>
        <v>-0.37350603612081018</v>
      </c>
    </row>
    <row r="21" spans="1:38" ht="18.75" x14ac:dyDescent="0.3">
      <c r="A21" s="10"/>
      <c r="B21" s="10" t="s">
        <v>23</v>
      </c>
      <c r="C21" s="8" t="s">
        <v>25</v>
      </c>
      <c r="D21" s="7" t="str">
        <f>IF(MIN(Y7:Y8)&gt;24,AL17,"na")</f>
        <v>p&lt; 0.001</v>
      </c>
      <c r="Y21">
        <v>1E-3</v>
      </c>
      <c r="Z21">
        <v>1.95</v>
      </c>
      <c r="AA21">
        <f>Z21*AA18</f>
        <v>0.26761905572731559</v>
      </c>
      <c r="AB21" t="str">
        <f>IF(Y16&gt;AA21,"Yes","No")</f>
        <v>Yes</v>
      </c>
      <c r="AJ21" t="s">
        <v>38</v>
      </c>
      <c r="AK21">
        <f>(MAX(AI10:AI11))/(MIN(AI10:AI11))</f>
        <v>1.2938535135368052</v>
      </c>
    </row>
    <row r="22" spans="1:38" ht="18.75" x14ac:dyDescent="0.3">
      <c r="A22" s="10"/>
      <c r="B22" s="10" t="s">
        <v>24</v>
      </c>
      <c r="C22" s="8" t="s">
        <v>25</v>
      </c>
      <c r="D22" s="7" t="str">
        <f>IF(MIN(Y7:Y8)&gt;24,AL18,"na")</f>
        <v>p&lt; 0.001</v>
      </c>
      <c r="AK22" t="s">
        <v>42</v>
      </c>
      <c r="AL22" t="s">
        <v>43</v>
      </c>
    </row>
    <row r="23" spans="1:38" x14ac:dyDescent="0.25">
      <c r="Y23" t="s">
        <v>31</v>
      </c>
      <c r="Z23">
        <f>(4*(Y16^2))</f>
        <v>0.34269655672444937</v>
      </c>
      <c r="AA23">
        <f>(Y7*Y8)/(Y7+Y8)</f>
        <v>53.092741935483872</v>
      </c>
      <c r="AB23">
        <f>Z23*AA23</f>
        <v>18.194699848350101</v>
      </c>
      <c r="AJ23" t="s">
        <v>40</v>
      </c>
      <c r="AK23">
        <f>_xlfn.F.INV.RT(0.025,MAX(Y7:Y8)-1,MIN(Y7:Y8)-1)</f>
        <v>1.490446041546305</v>
      </c>
      <c r="AL23">
        <f>_xlfn.F.INV.RT(0.05,MAX(Y7:Y8)-1,MIN(Y7:Y8)-1)</f>
        <v>1.3967006019298436</v>
      </c>
    </row>
    <row r="24" spans="1:38" ht="15.75" x14ac:dyDescent="0.25">
      <c r="B24" s="7" t="s">
        <v>27</v>
      </c>
      <c r="C24" s="7" t="s">
        <v>28</v>
      </c>
      <c r="Y24" t="s">
        <v>32</v>
      </c>
      <c r="Z24">
        <f>_xlfn.CHISQ.DIST.RT(AB23,2)</f>
        <v>1.1196212380527836E-4</v>
      </c>
      <c r="AA24" t="str">
        <f>IF(Z24&gt;0.001,Z24,"p&lt; 0.001")</f>
        <v>p&lt; 0.001</v>
      </c>
      <c r="AJ24" t="s">
        <v>41</v>
      </c>
      <c r="AK24">
        <f>_xlfn.F.INV.RT(0.005,MAX(Y7:Y8)-1,MIN(Y7:Y8)-1)</f>
        <v>1.6956353689034767</v>
      </c>
      <c r="AL24">
        <f>_xlfn.F.INV.RT(0.01,MAX(Y7:Y8)-1,MIN(Y7:Y8)-1)</f>
        <v>1.6087784344606677</v>
      </c>
    </row>
    <row r="25" spans="1:38" ht="15.75" x14ac:dyDescent="0.25">
      <c r="A25" s="7" t="str">
        <f>B7</f>
        <v>Gosport</v>
      </c>
      <c r="B25" s="1">
        <f>AH7</f>
        <v>2.2514619883040936</v>
      </c>
      <c r="C25" s="5">
        <f>AI10</f>
        <v>0.68679620447974821</v>
      </c>
    </row>
    <row r="26" spans="1:38" ht="15.75" x14ac:dyDescent="0.25">
      <c r="A26" s="7" t="str">
        <f>B8</f>
        <v>Fareham</v>
      </c>
      <c r="B26" s="1">
        <f>AH8</f>
        <v>2.7402597402597402</v>
      </c>
      <c r="C26" s="5">
        <f>AI11</f>
        <v>0.53081449893223287</v>
      </c>
      <c r="Y26" t="s">
        <v>33</v>
      </c>
      <c r="Z26">
        <f>Z24*2</f>
        <v>2.2392424761055673E-4</v>
      </c>
      <c r="AA26" t="str">
        <f>IF(Z26&gt;0.001,Z26,"p&lt; 0.001")</f>
        <v>p&lt; 0.001</v>
      </c>
    </row>
    <row r="28" spans="1:38" x14ac:dyDescent="0.25">
      <c r="A28" t="s">
        <v>37</v>
      </c>
      <c r="C28" s="20">
        <f>ABS(AK20)</f>
        <v>0.37350603612081018</v>
      </c>
    </row>
    <row r="30" spans="1:38" x14ac:dyDescent="0.25">
      <c r="D30" t="s">
        <v>30</v>
      </c>
      <c r="E30" t="s">
        <v>34</v>
      </c>
    </row>
    <row r="31" spans="1:38" x14ac:dyDescent="0.25">
      <c r="A31" t="s">
        <v>39</v>
      </c>
      <c r="C31" s="33">
        <f>AK21</f>
        <v>1.2938535135368052</v>
      </c>
      <c r="D31" t="str">
        <f>IF(C31&lt;AK23,"p &gt; 0.05","p&lt;0.05")</f>
        <v>p &gt; 0.05</v>
      </c>
      <c r="E31" t="str">
        <f>IF(C31&lt;AL23,"p &gt; 0.05","p&lt;0.05")</f>
        <v>p &gt; 0.05</v>
      </c>
    </row>
    <row r="32" spans="1:38" x14ac:dyDescent="0.25">
      <c r="D32" t="str">
        <f>IF(C31&lt;AK24,"p &gt; 0.01","p&lt;0.01")</f>
        <v>p &gt; 0.01</v>
      </c>
      <c r="E32" t="str">
        <f>IF(C31&lt;AL24,"p &gt; 0.01","p&lt;0.01")</f>
        <v>p &gt; 0.01</v>
      </c>
    </row>
    <row r="34" spans="2:2" x14ac:dyDescent="0.25">
      <c r="B34" s="5"/>
    </row>
  </sheetData>
  <mergeCells count="3">
    <mergeCell ref="B7:C7"/>
    <mergeCell ref="B8:C8"/>
    <mergeCell ref="A16:D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N35"/>
  <sheetViews>
    <sheetView workbookViewId="0">
      <selection activeCell="I10" sqref="I10"/>
    </sheetView>
  </sheetViews>
  <sheetFormatPr defaultRowHeight="15" x14ac:dyDescent="0.25"/>
  <cols>
    <col min="3" max="3" width="8.5703125" customWidth="1"/>
    <col min="4" max="4" width="11.28515625" customWidth="1"/>
    <col min="5" max="5" width="11.7109375" customWidth="1"/>
    <col min="6" max="6" width="10.5703125" customWidth="1"/>
    <col min="7" max="7" width="10.28515625" customWidth="1"/>
    <col min="8" max="8" width="10.85546875" customWidth="1"/>
    <col min="9" max="9" width="8.7109375" customWidth="1"/>
    <col min="25" max="25" width="12" bestFit="1" customWidth="1"/>
  </cols>
  <sheetData>
    <row r="3" spans="1:40" x14ac:dyDescent="0.25">
      <c r="B3" s="38"/>
      <c r="C3" s="39"/>
      <c r="D3" s="39"/>
      <c r="E3" s="39"/>
      <c r="F3" s="39"/>
      <c r="G3" s="39"/>
      <c r="H3" s="39"/>
      <c r="I3" s="39"/>
    </row>
    <row r="4" spans="1:40" x14ac:dyDescent="0.25">
      <c r="B4" s="39"/>
      <c r="C4" s="39"/>
      <c r="D4" s="39"/>
      <c r="E4" s="39"/>
      <c r="F4" s="39"/>
      <c r="G4" s="39"/>
      <c r="H4" s="39"/>
      <c r="I4" s="39"/>
    </row>
    <row r="5" spans="1:40" x14ac:dyDescent="0.25">
      <c r="W5" t="s">
        <v>29</v>
      </c>
    </row>
    <row r="6" spans="1:40" ht="15.75" customHeight="1" thickBot="1" x14ac:dyDescent="0.3">
      <c r="L6" t="s">
        <v>72</v>
      </c>
      <c r="W6" t="s">
        <v>74</v>
      </c>
      <c r="AE6" t="s">
        <v>76</v>
      </c>
    </row>
    <row r="7" spans="1:40" ht="48" thickBot="1" x14ac:dyDescent="0.3">
      <c r="C7" s="18"/>
      <c r="D7" s="19" t="s">
        <v>108</v>
      </c>
      <c r="E7" s="2" t="s">
        <v>109</v>
      </c>
      <c r="F7" s="2" t="s">
        <v>110</v>
      </c>
      <c r="G7" s="2" t="s">
        <v>111</v>
      </c>
      <c r="H7" s="2" t="s">
        <v>112</v>
      </c>
      <c r="J7" s="9" t="s">
        <v>7</v>
      </c>
      <c r="K7" s="9"/>
      <c r="L7" s="9" t="str">
        <f>D7</f>
        <v>Very inexpensive</v>
      </c>
      <c r="M7" s="9" t="str">
        <f t="shared" ref="M7:P7" si="0">E7</f>
        <v>Inexpensive</v>
      </c>
      <c r="N7" s="9" t="str">
        <f t="shared" si="0"/>
        <v>Affordable</v>
      </c>
      <c r="O7" s="9" t="str">
        <f t="shared" si="0"/>
        <v>Expensive</v>
      </c>
      <c r="P7" s="9" t="str">
        <f t="shared" si="0"/>
        <v>Very expensive</v>
      </c>
      <c r="Q7" s="13"/>
      <c r="W7" s="4" t="str">
        <f>D7</f>
        <v>Very inexpensive</v>
      </c>
      <c r="X7" s="4" t="str">
        <f>E7</f>
        <v>Inexpensive</v>
      </c>
      <c r="Y7" s="4" t="str">
        <f>F7</f>
        <v>Affordable</v>
      </c>
      <c r="Z7" s="4" t="str">
        <f>G7</f>
        <v>Expensive</v>
      </c>
      <c r="AA7" s="4" t="str">
        <f>H7</f>
        <v>Very expensive</v>
      </c>
      <c r="AB7" s="4"/>
      <c r="AC7" s="2" t="s">
        <v>7</v>
      </c>
      <c r="AD7" s="4"/>
      <c r="AF7" s="4" t="str">
        <f>D7</f>
        <v>Very inexpensive</v>
      </c>
      <c r="AG7" s="4" t="str">
        <f>E7</f>
        <v>Inexpensive</v>
      </c>
      <c r="AH7" s="4" t="str">
        <f>F7</f>
        <v>Affordable</v>
      </c>
      <c r="AI7" s="4" t="str">
        <f>G7</f>
        <v>Expensive</v>
      </c>
      <c r="AJ7" s="4" t="str">
        <f>H7</f>
        <v>Very expensive</v>
      </c>
      <c r="AL7" t="s">
        <v>9</v>
      </c>
    </row>
    <row r="8" spans="1:40" ht="19.5" thickBot="1" x14ac:dyDescent="0.3">
      <c r="B8" s="35" t="s">
        <v>100</v>
      </c>
      <c r="C8" s="36"/>
      <c r="D8" s="12">
        <v>2</v>
      </c>
      <c r="E8" s="12">
        <v>13</v>
      </c>
      <c r="F8" s="12">
        <v>106</v>
      </c>
      <c r="G8" s="12">
        <v>49</v>
      </c>
      <c r="H8" s="12">
        <v>5</v>
      </c>
      <c r="J8">
        <f>SUM(D8:H8)</f>
        <v>175</v>
      </c>
      <c r="L8" s="5">
        <f>(D8/$J8)*100</f>
        <v>1.1428571428571428</v>
      </c>
      <c r="M8" s="5">
        <f t="shared" ref="M8:P8" si="1">(E8/$J8)*100</f>
        <v>7.4285714285714288</v>
      </c>
      <c r="N8" s="5">
        <f t="shared" si="1"/>
        <v>60.571428571428577</v>
      </c>
      <c r="O8" s="5">
        <f t="shared" si="1"/>
        <v>28.000000000000004</v>
      </c>
      <c r="P8" s="5">
        <f t="shared" si="1"/>
        <v>2.8571428571428572</v>
      </c>
      <c r="Q8" s="13"/>
      <c r="V8" t="str">
        <f>B8</f>
        <v>Gosport</v>
      </c>
      <c r="W8">
        <f>D8</f>
        <v>2</v>
      </c>
      <c r="X8">
        <f t="shared" ref="X8:AA9" si="2">E8+W8</f>
        <v>15</v>
      </c>
      <c r="Y8">
        <f t="shared" si="2"/>
        <v>121</v>
      </c>
      <c r="Z8">
        <f t="shared" si="2"/>
        <v>170</v>
      </c>
      <c r="AA8">
        <f t="shared" si="2"/>
        <v>175</v>
      </c>
      <c r="AC8" s="3">
        <f>SUM(D8:H8)</f>
        <v>175</v>
      </c>
      <c r="AE8" t="str">
        <f>B8</f>
        <v>Gosport</v>
      </c>
      <c r="AF8">
        <f>D8*D11</f>
        <v>4</v>
      </c>
      <c r="AG8">
        <f>E8*E11</f>
        <v>13</v>
      </c>
      <c r="AH8">
        <f>F8*F11</f>
        <v>0</v>
      </c>
      <c r="AI8">
        <f>G8*G11</f>
        <v>-49</v>
      </c>
      <c r="AJ8">
        <f>H8*H11</f>
        <v>-10</v>
      </c>
      <c r="AL8">
        <f>SUM(AF8:AJ8)/AC8</f>
        <v>-0.24</v>
      </c>
      <c r="AM8" t="s">
        <v>15</v>
      </c>
      <c r="AN8">
        <f>MAX(AL8:AL9)</f>
        <v>-0.24</v>
      </c>
    </row>
    <row r="9" spans="1:40" ht="19.5" thickBot="1" x14ac:dyDescent="0.3">
      <c r="B9" s="35" t="s">
        <v>99</v>
      </c>
      <c r="C9" s="36"/>
      <c r="D9" s="12">
        <v>0</v>
      </c>
      <c r="E9" s="12">
        <v>2</v>
      </c>
      <c r="F9" s="12">
        <v>28</v>
      </c>
      <c r="G9" s="12">
        <v>42</v>
      </c>
      <c r="H9" s="12">
        <v>8</v>
      </c>
      <c r="J9">
        <f>SUM(D9:H9)</f>
        <v>80</v>
      </c>
      <c r="L9" s="5">
        <f>(D9/$J9)*100</f>
        <v>0</v>
      </c>
      <c r="M9" s="5">
        <f t="shared" ref="M9" si="3">(E9/$J9)*100</f>
        <v>2.5</v>
      </c>
      <c r="N9" s="5">
        <f t="shared" ref="N9" si="4">(F9/$J9)*100</f>
        <v>35</v>
      </c>
      <c r="O9" s="5">
        <f t="shared" ref="O9" si="5">(G9/$J9)*100</f>
        <v>52.5</v>
      </c>
      <c r="P9" s="5">
        <f t="shared" ref="P9" si="6">(H9/$J9)*100</f>
        <v>10</v>
      </c>
      <c r="Q9" s="13"/>
      <c r="V9" t="str">
        <f>B9</f>
        <v>Fareham</v>
      </c>
      <c r="W9">
        <f>D9</f>
        <v>0</v>
      </c>
      <c r="X9">
        <f t="shared" si="2"/>
        <v>2</v>
      </c>
      <c r="Y9">
        <f t="shared" si="2"/>
        <v>30</v>
      </c>
      <c r="Z9">
        <f t="shared" si="2"/>
        <v>72</v>
      </c>
      <c r="AA9">
        <f t="shared" si="2"/>
        <v>80</v>
      </c>
      <c r="AC9" s="3">
        <f>SUM(D9:H9)</f>
        <v>80</v>
      </c>
      <c r="AE9" t="str">
        <f>B9</f>
        <v>Fareham</v>
      </c>
      <c r="AF9">
        <f>D9*D11</f>
        <v>0</v>
      </c>
      <c r="AG9">
        <f>E9*E11</f>
        <v>2</v>
      </c>
      <c r="AH9">
        <f>F9*F11</f>
        <v>0</v>
      </c>
      <c r="AI9">
        <f>G9*G11</f>
        <v>-42</v>
      </c>
      <c r="AJ9">
        <f>H9*H11</f>
        <v>-16</v>
      </c>
      <c r="AL9">
        <f>SUM(AF9:AJ9)/AC9</f>
        <v>-0.7</v>
      </c>
      <c r="AM9" t="s">
        <v>16</v>
      </c>
      <c r="AN9">
        <f>MIN(AL8:AL9)</f>
        <v>-0.7</v>
      </c>
    </row>
    <row r="10" spans="1:40" x14ac:dyDescent="0.25">
      <c r="AC10" t="s">
        <v>18</v>
      </c>
      <c r="AL10" t="s">
        <v>10</v>
      </c>
      <c r="AM10" t="s">
        <v>11</v>
      </c>
    </row>
    <row r="11" spans="1:40" ht="18.75" x14ac:dyDescent="0.3">
      <c r="B11" s="8" t="s">
        <v>8</v>
      </c>
      <c r="D11" s="6">
        <v>2</v>
      </c>
      <c r="E11" s="6">
        <v>1</v>
      </c>
      <c r="F11" s="6">
        <v>0</v>
      </c>
      <c r="G11" s="6">
        <v>-1</v>
      </c>
      <c r="H11" s="6">
        <v>-2</v>
      </c>
      <c r="V11" t="s">
        <v>17</v>
      </c>
      <c r="W11">
        <f>ABS(W8-W9)</f>
        <v>2</v>
      </c>
      <c r="X11">
        <f t="shared" ref="X11" si="7">ABS(X8-X9)</f>
        <v>13</v>
      </c>
      <c r="Y11">
        <f t="shared" ref="Y11:AA11" si="8">ABS(Y8-Y9)</f>
        <v>91</v>
      </c>
      <c r="Z11">
        <f t="shared" si="8"/>
        <v>98</v>
      </c>
      <c r="AA11">
        <f t="shared" si="8"/>
        <v>95</v>
      </c>
      <c r="AC11">
        <f>MAX(W11:AA11)</f>
        <v>98</v>
      </c>
      <c r="AE11" t="str">
        <f>AE8</f>
        <v>Gosport</v>
      </c>
      <c r="AF11">
        <f>((D11-$AL8)^2)*D8</f>
        <v>10.035200000000001</v>
      </c>
      <c r="AG11">
        <f>((E11-$AL8)^2)*E8</f>
        <v>19.988800000000001</v>
      </c>
      <c r="AH11">
        <f>((F11-$AL8)^2)*F8</f>
        <v>6.1055999999999999</v>
      </c>
      <c r="AI11">
        <f>((G11-$AL8)^2)*G8</f>
        <v>28.302399999999999</v>
      </c>
      <c r="AJ11">
        <f>((H11-$AL8)^2)*H8</f>
        <v>15.488</v>
      </c>
      <c r="AL11">
        <f>(SUM(AF11:AJ11))/(AC8-1)</f>
        <v>0.4593103448275862</v>
      </c>
      <c r="AM11" s="5">
        <f>AL11^0.5</f>
        <v>0.67772438706865656</v>
      </c>
    </row>
    <row r="12" spans="1:40" ht="15" customHeight="1" x14ac:dyDescent="0.25">
      <c r="J12" t="s">
        <v>97</v>
      </c>
      <c r="P12" s="4"/>
      <c r="Q12" s="4"/>
      <c r="R12" s="4"/>
      <c r="S12" s="4"/>
      <c r="T12" s="4"/>
      <c r="AE12" t="str">
        <f>AE9</f>
        <v>Fareham</v>
      </c>
      <c r="AF12">
        <f>((D11-$AL9)^2)*D9</f>
        <v>0</v>
      </c>
      <c r="AG12">
        <f>((E11-$AL9)^2)*E9</f>
        <v>5.7799999999999994</v>
      </c>
      <c r="AH12">
        <f>((F11-$AL9)^2)*F9</f>
        <v>13.719999999999999</v>
      </c>
      <c r="AI12">
        <f>((G11-$AL9)^2)*G9</f>
        <v>3.7800000000000011</v>
      </c>
      <c r="AJ12">
        <f>((H11-$AL9)^2)*H9</f>
        <v>13.520000000000001</v>
      </c>
      <c r="AL12">
        <f>(SUM(AG12:AJ12))/(AC9-1)</f>
        <v>0.46582278481012662</v>
      </c>
      <c r="AM12" s="5">
        <f>AL12^0.5</f>
        <v>0.68251211330651607</v>
      </c>
    </row>
    <row r="13" spans="1:40" ht="17.25" customHeight="1" x14ac:dyDescent="0.25">
      <c r="A13" s="17"/>
      <c r="B13" s="17"/>
      <c r="C13" s="14" t="s">
        <v>19</v>
      </c>
      <c r="D13" s="14">
        <f>IF(AC8=AC9,AC11,AC17)</f>
        <v>0.31642857142857139</v>
      </c>
      <c r="E13" s="16"/>
      <c r="F13" t="s">
        <v>60</v>
      </c>
      <c r="H13" t="s">
        <v>62</v>
      </c>
      <c r="I13" s="16"/>
      <c r="J13" s="16" t="s">
        <v>30</v>
      </c>
      <c r="K13" s="31" t="str">
        <f>IF(AD27&lt;1,AE27,1)</f>
        <v>p&lt;0.001</v>
      </c>
      <c r="P13" s="4"/>
      <c r="Q13" s="4"/>
      <c r="R13" s="4"/>
      <c r="S13" s="4"/>
      <c r="T13" s="4"/>
      <c r="W13" t="s">
        <v>75</v>
      </c>
      <c r="X13" s="4"/>
      <c r="Y13" s="4"/>
      <c r="Z13" s="4"/>
      <c r="AA13" s="4"/>
      <c r="AB13" s="4"/>
    </row>
    <row r="14" spans="1:40" ht="15" customHeight="1" x14ac:dyDescent="0.25">
      <c r="A14" s="17"/>
      <c r="B14" s="17"/>
      <c r="F14" t="s">
        <v>59</v>
      </c>
      <c r="G14" s="1">
        <f>IF(MIN(AC8:AC9)&gt;39,AE20,"na")</f>
        <v>0.18354602381185722</v>
      </c>
      <c r="H14" s="22" t="str">
        <f>IF(MIN(AC8:AC9)&gt;39,AF20,"na")</f>
        <v>Yes</v>
      </c>
      <c r="I14" s="16"/>
      <c r="J14" t="s">
        <v>34</v>
      </c>
      <c r="K14" s="1" t="str">
        <f>AE25</f>
        <v>p&lt;0.001</v>
      </c>
      <c r="P14" s="4"/>
      <c r="Q14" s="4"/>
      <c r="R14" s="4"/>
      <c r="S14" s="4"/>
      <c r="T14" s="4"/>
      <c r="V14" t="str">
        <f>B8</f>
        <v>Gosport</v>
      </c>
      <c r="W14">
        <f t="shared" ref="W14:AA15" si="9">W8/$AC8</f>
        <v>1.1428571428571429E-2</v>
      </c>
      <c r="X14">
        <f t="shared" si="9"/>
        <v>8.5714285714285715E-2</v>
      </c>
      <c r="Y14">
        <f t="shared" si="9"/>
        <v>0.69142857142857139</v>
      </c>
      <c r="Z14">
        <f t="shared" si="9"/>
        <v>0.97142857142857142</v>
      </c>
      <c r="AA14">
        <f t="shared" si="9"/>
        <v>1</v>
      </c>
      <c r="AL14" t="s">
        <v>12</v>
      </c>
      <c r="AM14">
        <f>AN8-AN9</f>
        <v>0.45999999999999996</v>
      </c>
    </row>
    <row r="15" spans="1:40" ht="18.75" x14ac:dyDescent="0.3">
      <c r="A15" s="8" t="s">
        <v>20</v>
      </c>
      <c r="B15" s="8"/>
      <c r="C15" s="8" t="s">
        <v>21</v>
      </c>
      <c r="D15" s="7" t="str">
        <f>IF(AC8=AC9,D13/((AC8+AC9)/2),"Use Dmax")</f>
        <v>Use Dmax</v>
      </c>
      <c r="F15" t="s">
        <v>61</v>
      </c>
      <c r="G15" s="1">
        <f>IF(MIN(AC8:AC9)&gt;39,AE21,"na")</f>
        <v>0.2199853079509759</v>
      </c>
      <c r="H15" s="22" t="str">
        <f>IF(MIN(AC8:AC9)&gt;39,AF21,"na")</f>
        <v>Yes</v>
      </c>
      <c r="I15" s="16"/>
      <c r="J15" s="16"/>
      <c r="K15" s="16"/>
      <c r="P15" s="4"/>
      <c r="Q15" s="4"/>
      <c r="R15" s="4"/>
      <c r="S15" s="4"/>
      <c r="T15" s="4"/>
      <c r="V15" t="str">
        <f>B9</f>
        <v>Fareham</v>
      </c>
      <c r="W15">
        <f t="shared" si="9"/>
        <v>0</v>
      </c>
      <c r="X15">
        <f t="shared" si="9"/>
        <v>2.5000000000000001E-2</v>
      </c>
      <c r="Y15">
        <f t="shared" si="9"/>
        <v>0.375</v>
      </c>
      <c r="Z15">
        <f t="shared" si="9"/>
        <v>0.9</v>
      </c>
      <c r="AA15">
        <f t="shared" si="9"/>
        <v>1</v>
      </c>
      <c r="AL15" t="s">
        <v>13</v>
      </c>
      <c r="AM15">
        <f>((AL11/AC8)+(AL12/AC9))^0.5</f>
        <v>9.190982184727868E-2</v>
      </c>
    </row>
    <row r="16" spans="1:40" ht="18.75" x14ac:dyDescent="0.3">
      <c r="A16" s="8"/>
      <c r="B16" s="8"/>
      <c r="C16" s="8"/>
      <c r="D16" s="8"/>
      <c r="F16" t="s">
        <v>73</v>
      </c>
      <c r="G16" s="1">
        <f>IF(MIN(AC8:AC9)&gt;39,AE22,"na")</f>
        <v>0.26317260767141293</v>
      </c>
      <c r="H16" s="22" t="str">
        <f>IF(MIN(AC8:AC9)&gt;39,AF22,"na")</f>
        <v>Yes</v>
      </c>
      <c r="AC16" t="s">
        <v>18</v>
      </c>
      <c r="AL16" t="s">
        <v>14</v>
      </c>
      <c r="AM16" s="15">
        <f>AM14/AM15</f>
        <v>5.0049057952082183</v>
      </c>
    </row>
    <row r="17" spans="1:40" x14ac:dyDescent="0.25">
      <c r="A17" s="37" t="str">
        <f>IF(MIN(AC8:AC9)&lt;50,"Your samples may be a bit too small to trust the results of a t-test","Your samples are large so you may choose to use parametric tests like the t-test and F ratio")</f>
        <v>Your samples are large so you may choose to use parametric tests like the t-test and F ratio</v>
      </c>
      <c r="B17" s="37"/>
      <c r="C17" s="37"/>
      <c r="D17" s="37"/>
      <c r="V17" t="s">
        <v>17</v>
      </c>
      <c r="W17">
        <f>ABS(W14-W15)</f>
        <v>1.1428571428571429E-2</v>
      </c>
      <c r="X17">
        <f t="shared" ref="X17:Z17" si="10">ABS(X14-X15)</f>
        <v>6.0714285714285714E-2</v>
      </c>
      <c r="Y17">
        <f t="shared" si="10"/>
        <v>0.31642857142857139</v>
      </c>
      <c r="Z17">
        <f t="shared" si="10"/>
        <v>7.1428571428571397E-2</v>
      </c>
      <c r="AA17">
        <f t="shared" ref="AA17" si="11">ABS(AA14-AA15)</f>
        <v>0</v>
      </c>
      <c r="AC17">
        <f>MAX(W17:AA17)</f>
        <v>0.31642857142857139</v>
      </c>
      <c r="AL17" t="s">
        <v>0</v>
      </c>
      <c r="AM17">
        <f>AC8+AC9-2</f>
        <v>253</v>
      </c>
    </row>
    <row r="18" spans="1:40" x14ac:dyDescent="0.25">
      <c r="A18" s="37"/>
      <c r="B18" s="37"/>
      <c r="C18" s="37"/>
      <c r="D18" s="37"/>
    </row>
    <row r="19" spans="1:40" x14ac:dyDescent="0.25">
      <c r="A19" s="37"/>
      <c r="B19" s="37"/>
      <c r="C19" s="37"/>
      <c r="D19" s="37"/>
      <c r="AC19" t="s">
        <v>25</v>
      </c>
      <c r="AE19">
        <f>((AC8+AC9)/(AC8*AC9))^0.5</f>
        <v>0.1349603116263656</v>
      </c>
      <c r="AL19" t="s">
        <v>30</v>
      </c>
      <c r="AM19">
        <f>_xlfn.T.DIST.2T(AM16,AM17)</f>
        <v>1.0476703104265648E-6</v>
      </c>
      <c r="AN19" t="str">
        <f>IF(AM19&gt;0.001,AM19,"p&lt; 0.001")</f>
        <v>p&lt; 0.001</v>
      </c>
    </row>
    <row r="20" spans="1:40" x14ac:dyDescent="0.25">
      <c r="AC20">
        <v>0.05</v>
      </c>
      <c r="AD20">
        <v>1.36</v>
      </c>
      <c r="AE20">
        <f>AD20*AE19</f>
        <v>0.18354602381185722</v>
      </c>
      <c r="AF20" t="str">
        <f>IF(AC17&gt;AE20,"Yes","No")</f>
        <v>Yes</v>
      </c>
      <c r="AL20" t="s">
        <v>34</v>
      </c>
      <c r="AM20">
        <f>AM19/2</f>
        <v>5.2383515521328238E-7</v>
      </c>
      <c r="AN20" t="str">
        <f>IF(AM20&gt;0.001,AM20,"p&lt; 0.001")</f>
        <v>p&lt; 0.001</v>
      </c>
    </row>
    <row r="21" spans="1:40" ht="18.75" x14ac:dyDescent="0.3">
      <c r="A21" s="10" t="s">
        <v>22</v>
      </c>
      <c r="B21" s="10"/>
      <c r="C21" s="8" t="s">
        <v>26</v>
      </c>
      <c r="D21" s="30">
        <f>IF(MIN(AC8:AC9)&gt;24,AM16,"na")</f>
        <v>5.0049057952082183</v>
      </c>
      <c r="AC21">
        <v>0.01</v>
      </c>
      <c r="AD21">
        <v>1.63</v>
      </c>
      <c r="AE21">
        <f>AD21*AE19</f>
        <v>0.2199853079509759</v>
      </c>
      <c r="AF21" t="str">
        <f>IF(AC17&gt;AE21,"Yes","No")</f>
        <v>Yes</v>
      </c>
      <c r="AL21" t="s">
        <v>35</v>
      </c>
      <c r="AM21">
        <f>_xlfn.NORM.S.INV(AM20)</f>
        <v>-4.8824665209821712</v>
      </c>
    </row>
    <row r="22" spans="1:40" ht="18.75" x14ac:dyDescent="0.3">
      <c r="A22" s="10"/>
      <c r="B22" s="10" t="s">
        <v>23</v>
      </c>
      <c r="C22" s="8" t="s">
        <v>25</v>
      </c>
      <c r="D22" s="7" t="str">
        <f>IF(MIN(AC8:AC9)&gt;24,AN19,"na")</f>
        <v>p&lt; 0.001</v>
      </c>
      <c r="AC22">
        <v>1E-3</v>
      </c>
      <c r="AD22">
        <v>1.95</v>
      </c>
      <c r="AE22">
        <f>AD22*AE19</f>
        <v>0.26317260767141293</v>
      </c>
      <c r="AF22" t="str">
        <f>IF(AC17&gt;AE22,"Yes","No")</f>
        <v>Yes</v>
      </c>
      <c r="AL22" t="s">
        <v>36</v>
      </c>
      <c r="AM22">
        <f>AM21/((AC8+AC9)^0.5)</f>
        <v>-0.30575191358490367</v>
      </c>
    </row>
    <row r="23" spans="1:40" ht="18.75" x14ac:dyDescent="0.3">
      <c r="A23" s="10"/>
      <c r="B23" s="10" t="s">
        <v>24</v>
      </c>
      <c r="C23" s="8" t="s">
        <v>25</v>
      </c>
      <c r="D23" s="7" t="str">
        <f>IF(MIN(AC8:AC9)&gt;24,AN20,"na")</f>
        <v>p&lt; 0.001</v>
      </c>
      <c r="AL23" t="s">
        <v>38</v>
      </c>
      <c r="AM23">
        <f>(MAX(AM11:AM12))/(MIN(AM11:AM12))</f>
        <v>1.0070644148701329</v>
      </c>
    </row>
    <row r="24" spans="1:40" x14ac:dyDescent="0.25">
      <c r="AC24" t="s">
        <v>31</v>
      </c>
      <c r="AD24">
        <f>(4*(AC17^2))</f>
        <v>0.40050816326530603</v>
      </c>
      <c r="AE24">
        <f>(AC8*AC9)/(AC8+AC9)</f>
        <v>54.901960784313722</v>
      </c>
      <c r="AF24">
        <f>AD24*AE24</f>
        <v>21.988683473389351</v>
      </c>
      <c r="AM24" t="s">
        <v>42</v>
      </c>
      <c r="AN24" t="s">
        <v>43</v>
      </c>
    </row>
    <row r="25" spans="1:40" ht="15.75" x14ac:dyDescent="0.25">
      <c r="B25" s="7" t="s">
        <v>27</v>
      </c>
      <c r="C25" s="7" t="s">
        <v>28</v>
      </c>
      <c r="AC25" t="s">
        <v>32</v>
      </c>
      <c r="AD25">
        <f>_xlfn.CHISQ.DIST.RT(AF24,2)</f>
        <v>1.6796471276298371E-5</v>
      </c>
      <c r="AE25" t="str">
        <f>IF(AD25&gt;0.001,AD25,"p&lt;0.001")</f>
        <v>p&lt;0.001</v>
      </c>
      <c r="AL25" t="s">
        <v>40</v>
      </c>
      <c r="AM25">
        <f>_xlfn.F.INV.RT(0.025,MAX(AC8:AC9)-1,MIN(AC8:AC9)-1)</f>
        <v>1.4796452696102296</v>
      </c>
      <c r="AN25">
        <f>_xlfn.F.INV.RT(0.05,MAX(AC8:AC9)-1,MIN(AC8:AC9)-1)</f>
        <v>1.3882586039892693</v>
      </c>
    </row>
    <row r="26" spans="1:40" ht="15.75" x14ac:dyDescent="0.25">
      <c r="A26" s="7" t="str">
        <f>B8</f>
        <v>Gosport</v>
      </c>
      <c r="B26" s="1">
        <f>AL8</f>
        <v>-0.24</v>
      </c>
      <c r="C26" s="5">
        <f>AM11</f>
        <v>0.67772438706865656</v>
      </c>
      <c r="AL26" t="s">
        <v>41</v>
      </c>
      <c r="AM26">
        <f>_xlfn.F.INV.RT(0.005,MAX(AC8:AC9)-1,MIN(AC8:AC9)-1)</f>
        <v>1.6791966489897718</v>
      </c>
      <c r="AN26">
        <f>_xlfn.F.INV.RT(0.01,MAX(AC8:AC9)-1,MIN(AC8:AC9)-1)</f>
        <v>1.5948032287946361</v>
      </c>
    </row>
    <row r="27" spans="1:40" ht="15.75" x14ac:dyDescent="0.25">
      <c r="A27" s="7" t="str">
        <f>B9</f>
        <v>Fareham</v>
      </c>
      <c r="B27" s="1">
        <f>AL9</f>
        <v>-0.7</v>
      </c>
      <c r="C27" s="5">
        <f>AM12</f>
        <v>0.68251211330651607</v>
      </c>
      <c r="AC27" t="s">
        <v>33</v>
      </c>
      <c r="AD27">
        <f>AD25*2</f>
        <v>3.3592942552596742E-5</v>
      </c>
      <c r="AE27" t="str">
        <f>IF(AD27&gt;0.001,AD27,"p&lt;0.001")</f>
        <v>p&lt;0.001</v>
      </c>
    </row>
    <row r="29" spans="1:40" x14ac:dyDescent="0.25">
      <c r="A29" t="s">
        <v>37</v>
      </c>
      <c r="C29" s="1">
        <f>ABS(AM22)</f>
        <v>0.30575191358490367</v>
      </c>
    </row>
    <row r="31" spans="1:40" x14ac:dyDescent="0.25">
      <c r="D31" t="s">
        <v>30</v>
      </c>
      <c r="E31" t="s">
        <v>34</v>
      </c>
    </row>
    <row r="32" spans="1:40" x14ac:dyDescent="0.25">
      <c r="A32" t="s">
        <v>39</v>
      </c>
      <c r="C32" s="1">
        <f>AM23</f>
        <v>1.0070644148701329</v>
      </c>
      <c r="D32" t="str">
        <f>IF(C32&lt;AM25,"p &gt; 0.05","p&lt;0.05")</f>
        <v>p &gt; 0.05</v>
      </c>
      <c r="E32" t="str">
        <f>IF(C32&lt;AN25,"p &gt; 0.05","p&lt;0.05")</f>
        <v>p &gt; 0.05</v>
      </c>
    </row>
    <row r="33" spans="2:5" x14ac:dyDescent="0.25">
      <c r="D33" t="str">
        <f>IF(C32&lt;AM26,"p &gt; 0.01","p&lt;0.01")</f>
        <v>p &gt; 0.01</v>
      </c>
      <c r="E33" t="str">
        <f>IF(C32&lt;AN26,"p &gt; 0.01","p&lt;0.01")</f>
        <v>p &gt; 0.01</v>
      </c>
    </row>
    <row r="35" spans="2:5" x14ac:dyDescent="0.25">
      <c r="B35">
        <f>B26-B27</f>
        <v>0.45999999999999996</v>
      </c>
    </row>
  </sheetData>
  <mergeCells count="4">
    <mergeCell ref="B3:I4"/>
    <mergeCell ref="B8:C8"/>
    <mergeCell ref="B9:C9"/>
    <mergeCell ref="A17:D1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32"/>
  <sheetViews>
    <sheetView workbookViewId="0">
      <selection activeCell="D6" sqref="D6"/>
    </sheetView>
  </sheetViews>
  <sheetFormatPr defaultRowHeight="15" x14ac:dyDescent="0.25"/>
  <cols>
    <col min="1" max="1" width="12.28515625" customWidth="1"/>
    <col min="3" max="3" width="8.5703125" customWidth="1"/>
    <col min="4" max="5" width="8.7109375" customWidth="1"/>
    <col min="6" max="6" width="8.85546875" customWidth="1"/>
    <col min="7" max="7" width="8.7109375" customWidth="1"/>
    <col min="8" max="8" width="8.5703125" customWidth="1"/>
    <col min="9" max="9" width="8.7109375" customWidth="1"/>
    <col min="10" max="10" width="7.28515625" customWidth="1"/>
    <col min="25" max="25" width="12" bestFit="1" customWidth="1"/>
    <col min="30" max="30" width="12" bestFit="1" customWidth="1"/>
  </cols>
  <sheetData>
    <row r="2" spans="1:43" ht="15" customHeight="1" x14ac:dyDescent="0.25">
      <c r="B2" s="32"/>
      <c r="C2" s="16"/>
      <c r="D2" s="16"/>
      <c r="E2" s="16"/>
      <c r="F2" s="16"/>
      <c r="G2" s="16"/>
      <c r="H2" s="16"/>
      <c r="I2" s="16"/>
    </row>
    <row r="3" spans="1:43" x14ac:dyDescent="0.25">
      <c r="B3" s="16"/>
      <c r="C3" s="16"/>
      <c r="D3" s="16"/>
      <c r="E3" s="16"/>
      <c r="F3" s="16"/>
      <c r="G3" s="16"/>
      <c r="H3" s="16"/>
      <c r="I3" s="16"/>
    </row>
    <row r="4" spans="1:43" x14ac:dyDescent="0.25">
      <c r="W4" t="s">
        <v>29</v>
      </c>
    </row>
    <row r="5" spans="1:43" ht="15.75" customHeight="1" thickBot="1" x14ac:dyDescent="0.3"/>
    <row r="6" spans="1:43" ht="32.25" thickBot="1" x14ac:dyDescent="0.3">
      <c r="C6" s="18"/>
      <c r="D6" s="2" t="s">
        <v>1</v>
      </c>
      <c r="E6" s="2" t="s">
        <v>2</v>
      </c>
      <c r="F6" s="2" t="s">
        <v>3</v>
      </c>
      <c r="G6" s="2" t="s">
        <v>4</v>
      </c>
      <c r="H6" s="2" t="s">
        <v>5</v>
      </c>
      <c r="I6" s="2" t="s">
        <v>6</v>
      </c>
      <c r="K6" s="9" t="s">
        <v>7</v>
      </c>
      <c r="N6" s="9"/>
      <c r="O6" s="9"/>
      <c r="P6" s="9" t="str">
        <f t="shared" ref="P6:U6" si="0">D6</f>
        <v>Very Angular</v>
      </c>
      <c r="Q6" s="9" t="str">
        <f t="shared" si="0"/>
        <v>Angular</v>
      </c>
      <c r="R6" s="9" t="str">
        <f t="shared" si="0"/>
        <v>Sub-angular</v>
      </c>
      <c r="S6" s="9" t="str">
        <f t="shared" si="0"/>
        <v>Sub-rounded</v>
      </c>
      <c r="T6" s="9" t="str">
        <f t="shared" si="0"/>
        <v>Rounded</v>
      </c>
      <c r="U6" s="9" t="str">
        <f t="shared" si="0"/>
        <v>Well-rounded</v>
      </c>
      <c r="X6" s="4" t="str">
        <f t="shared" ref="X6:AC6" si="1">D6</f>
        <v>Very Angular</v>
      </c>
      <c r="Y6" s="4" t="str">
        <f t="shared" si="1"/>
        <v>Angular</v>
      </c>
      <c r="Z6" s="4" t="str">
        <f t="shared" si="1"/>
        <v>Sub-angular</v>
      </c>
      <c r="AA6" s="4" t="str">
        <f t="shared" si="1"/>
        <v>Sub-rounded</v>
      </c>
      <c r="AB6" s="4" t="str">
        <f t="shared" si="1"/>
        <v>Rounded</v>
      </c>
      <c r="AC6" s="4" t="str">
        <f t="shared" si="1"/>
        <v>Well-rounded</v>
      </c>
      <c r="AD6" s="4"/>
      <c r="AE6" s="2" t="s">
        <v>7</v>
      </c>
      <c r="AF6" s="4"/>
      <c r="AH6" s="4" t="str">
        <f t="shared" ref="AH6:AM6" si="2">D6</f>
        <v>Very Angular</v>
      </c>
      <c r="AI6" s="4" t="str">
        <f t="shared" si="2"/>
        <v>Angular</v>
      </c>
      <c r="AJ6" s="4" t="str">
        <f t="shared" si="2"/>
        <v>Sub-angular</v>
      </c>
      <c r="AK6" s="4" t="str">
        <f t="shared" si="2"/>
        <v>Sub-rounded</v>
      </c>
      <c r="AL6" s="4" t="str">
        <f t="shared" si="2"/>
        <v>Rounded</v>
      </c>
      <c r="AM6" s="4" t="str">
        <f t="shared" si="2"/>
        <v>Well-rounded</v>
      </c>
      <c r="AO6" t="s">
        <v>9</v>
      </c>
    </row>
    <row r="7" spans="1:43" ht="19.5" thickBot="1" x14ac:dyDescent="0.3">
      <c r="B7" s="40" t="s">
        <v>99</v>
      </c>
      <c r="C7" s="41"/>
      <c r="D7" s="12">
        <v>14</v>
      </c>
      <c r="E7" s="12">
        <v>15</v>
      </c>
      <c r="F7" s="12">
        <v>6</v>
      </c>
      <c r="G7" s="12">
        <v>3</v>
      </c>
      <c r="H7" s="12">
        <v>2</v>
      </c>
      <c r="I7" s="12">
        <v>1</v>
      </c>
      <c r="K7">
        <f>SUM(D7:I7)</f>
        <v>41</v>
      </c>
      <c r="O7" t="str">
        <f>B7</f>
        <v>Fareham</v>
      </c>
      <c r="P7" s="5">
        <f t="shared" ref="P7:U8" si="3">(D7/$K7)*100</f>
        <v>34.146341463414636</v>
      </c>
      <c r="Q7" s="5">
        <f t="shared" si="3"/>
        <v>36.585365853658537</v>
      </c>
      <c r="R7" s="5">
        <f t="shared" si="3"/>
        <v>14.634146341463413</v>
      </c>
      <c r="S7" s="5">
        <f t="shared" si="3"/>
        <v>7.3170731707317067</v>
      </c>
      <c r="T7" s="5">
        <f t="shared" si="3"/>
        <v>4.8780487804878048</v>
      </c>
      <c r="U7" s="5">
        <f t="shared" si="3"/>
        <v>2.4390243902439024</v>
      </c>
      <c r="W7" t="str">
        <f>B7</f>
        <v>Fareham</v>
      </c>
      <c r="X7">
        <f>D7</f>
        <v>14</v>
      </c>
      <c r="Y7">
        <f t="shared" ref="Y7:AC8" si="4">E7+X7</f>
        <v>29</v>
      </c>
      <c r="Z7">
        <f t="shared" si="4"/>
        <v>35</v>
      </c>
      <c r="AA7">
        <f t="shared" si="4"/>
        <v>38</v>
      </c>
      <c r="AB7">
        <f t="shared" si="4"/>
        <v>40</v>
      </c>
      <c r="AC7">
        <f t="shared" si="4"/>
        <v>41</v>
      </c>
      <c r="AE7" s="3">
        <f>SUM(D7:I7)</f>
        <v>41</v>
      </c>
      <c r="AG7" t="str">
        <f>B7</f>
        <v>Fareham</v>
      </c>
      <c r="AH7">
        <f t="shared" ref="AH7:AM7" si="5">D7*D10</f>
        <v>14</v>
      </c>
      <c r="AI7">
        <f t="shared" si="5"/>
        <v>30</v>
      </c>
      <c r="AJ7">
        <f t="shared" si="5"/>
        <v>18</v>
      </c>
      <c r="AK7">
        <f t="shared" si="5"/>
        <v>12</v>
      </c>
      <c r="AL7">
        <f t="shared" si="5"/>
        <v>10</v>
      </c>
      <c r="AM7">
        <f t="shared" si="5"/>
        <v>6</v>
      </c>
      <c r="AO7">
        <f>SUM(AH7:AM7)/AE7</f>
        <v>2.1951219512195124</v>
      </c>
      <c r="AP7" t="s">
        <v>15</v>
      </c>
      <c r="AQ7">
        <f>MAX(AO7:AO8)</f>
        <v>4.0869565217391308</v>
      </c>
    </row>
    <row r="8" spans="1:43" ht="19.5" thickBot="1" x14ac:dyDescent="0.3">
      <c r="B8" s="40" t="s">
        <v>100</v>
      </c>
      <c r="C8" s="41"/>
      <c r="D8" s="12">
        <v>4</v>
      </c>
      <c r="E8" s="12">
        <v>5</v>
      </c>
      <c r="F8" s="12">
        <v>8</v>
      </c>
      <c r="G8" s="12">
        <v>5</v>
      </c>
      <c r="H8" s="12">
        <v>14</v>
      </c>
      <c r="I8" s="12">
        <v>10</v>
      </c>
      <c r="K8">
        <f>SUM(D8:I8)</f>
        <v>46</v>
      </c>
      <c r="O8" t="str">
        <f>B8</f>
        <v>Gosport</v>
      </c>
      <c r="P8" s="5">
        <f t="shared" si="3"/>
        <v>8.695652173913043</v>
      </c>
      <c r="Q8" s="5">
        <f t="shared" si="3"/>
        <v>10.869565217391305</v>
      </c>
      <c r="R8" s="5">
        <f t="shared" si="3"/>
        <v>17.391304347826086</v>
      </c>
      <c r="S8" s="5">
        <f t="shared" si="3"/>
        <v>10.869565217391305</v>
      </c>
      <c r="T8" s="5">
        <f t="shared" si="3"/>
        <v>30.434782608695656</v>
      </c>
      <c r="U8" s="5">
        <f t="shared" si="3"/>
        <v>21.739130434782609</v>
      </c>
      <c r="W8" t="str">
        <f>B8</f>
        <v>Gosport</v>
      </c>
      <c r="X8">
        <f>D8</f>
        <v>4</v>
      </c>
      <c r="Y8">
        <f t="shared" si="4"/>
        <v>9</v>
      </c>
      <c r="Z8">
        <f t="shared" si="4"/>
        <v>17</v>
      </c>
      <c r="AA8">
        <f t="shared" si="4"/>
        <v>22</v>
      </c>
      <c r="AB8">
        <f t="shared" si="4"/>
        <v>36</v>
      </c>
      <c r="AC8">
        <f t="shared" si="4"/>
        <v>46</v>
      </c>
      <c r="AE8" s="3">
        <f>SUM(D8:I8)</f>
        <v>46</v>
      </c>
      <c r="AG8" t="str">
        <f>B8</f>
        <v>Gosport</v>
      </c>
      <c r="AH8">
        <f t="shared" ref="AH8:AM8" si="6">D8*D10</f>
        <v>4</v>
      </c>
      <c r="AI8">
        <f t="shared" si="6"/>
        <v>10</v>
      </c>
      <c r="AJ8">
        <f t="shared" si="6"/>
        <v>24</v>
      </c>
      <c r="AK8">
        <f t="shared" si="6"/>
        <v>20</v>
      </c>
      <c r="AL8">
        <f t="shared" si="6"/>
        <v>70</v>
      </c>
      <c r="AM8">
        <f t="shared" si="6"/>
        <v>60</v>
      </c>
      <c r="AO8">
        <f>SUM(AH8:AM8)/AE8</f>
        <v>4.0869565217391308</v>
      </c>
      <c r="AP8" t="s">
        <v>16</v>
      </c>
      <c r="AQ8">
        <f>MIN(AO7:AO8)</f>
        <v>2.1951219512195124</v>
      </c>
    </row>
    <row r="9" spans="1:43" x14ac:dyDescent="0.25">
      <c r="AE9" t="s">
        <v>18</v>
      </c>
      <c r="AO9" t="s">
        <v>10</v>
      </c>
      <c r="AP9" t="s">
        <v>11</v>
      </c>
    </row>
    <row r="10" spans="1:43" ht="18.75" x14ac:dyDescent="0.3">
      <c r="B10" s="8" t="s">
        <v>8</v>
      </c>
      <c r="D10" s="6">
        <v>1</v>
      </c>
      <c r="E10" s="6">
        <v>2</v>
      </c>
      <c r="F10" s="6">
        <v>3</v>
      </c>
      <c r="G10" s="6">
        <v>4</v>
      </c>
      <c r="H10" s="6">
        <v>5</v>
      </c>
      <c r="I10" s="6">
        <v>6</v>
      </c>
      <c r="W10" t="s">
        <v>17</v>
      </c>
      <c r="X10">
        <f>ABS(X7-X8)</f>
        <v>10</v>
      </c>
      <c r="Y10">
        <f t="shared" ref="Y10:AC10" si="7">ABS(Y7-Y8)</f>
        <v>20</v>
      </c>
      <c r="Z10">
        <f t="shared" si="7"/>
        <v>18</v>
      </c>
      <c r="AA10">
        <f t="shared" si="7"/>
        <v>16</v>
      </c>
      <c r="AB10">
        <f t="shared" si="7"/>
        <v>4</v>
      </c>
      <c r="AC10">
        <f t="shared" si="7"/>
        <v>5</v>
      </c>
      <c r="AE10">
        <f>MAX(X10:AC10)</f>
        <v>20</v>
      </c>
      <c r="AG10" t="str">
        <f>AG7</f>
        <v>Fareham</v>
      </c>
      <c r="AH10">
        <f t="shared" ref="AH10:AM10" si="8">((D10-$AO7)^2)*D7</f>
        <v>19.996430696014283</v>
      </c>
      <c r="AI10">
        <f t="shared" si="8"/>
        <v>0.57108863771564644</v>
      </c>
      <c r="AJ10">
        <f t="shared" si="8"/>
        <v>3.8869720404521102</v>
      </c>
      <c r="AK10">
        <f t="shared" si="8"/>
        <v>9.7727543129089796</v>
      </c>
      <c r="AL10">
        <f t="shared" si="8"/>
        <v>15.734681737061271</v>
      </c>
      <c r="AM10">
        <f t="shared" si="8"/>
        <v>14.477096966091612</v>
      </c>
      <c r="AO10">
        <f>(SUM(AH10:AM10))/(AE7-1)</f>
        <v>1.6109756097560974</v>
      </c>
      <c r="AP10" s="5">
        <f>AO10^0.5</f>
        <v>1.2692421399229137</v>
      </c>
    </row>
    <row r="11" spans="1:43" x14ac:dyDescent="0.25">
      <c r="AG11" t="str">
        <f>AG8</f>
        <v>Gosport</v>
      </c>
      <c r="AH11">
        <f t="shared" ref="AH11:AM11" si="9">((D10-$AO8)^2)*D8</f>
        <v>38.117202268431008</v>
      </c>
      <c r="AI11">
        <f t="shared" si="9"/>
        <v>21.776937618147457</v>
      </c>
      <c r="AJ11">
        <f t="shared" si="9"/>
        <v>9.4517958412098366</v>
      </c>
      <c r="AK11">
        <f t="shared" si="9"/>
        <v>3.7807183364839653E-2</v>
      </c>
      <c r="AL11">
        <f t="shared" si="9"/>
        <v>11.671077504725888</v>
      </c>
      <c r="AM11">
        <f t="shared" si="9"/>
        <v>36.597353497164448</v>
      </c>
      <c r="AO11">
        <f>(SUM(AH11:AM11))/(AE8-1)</f>
        <v>2.6144927536231881</v>
      </c>
      <c r="AP11" s="5">
        <f>AO11^0.5</f>
        <v>1.6169393166174135</v>
      </c>
    </row>
    <row r="12" spans="1:43" ht="17.25" customHeight="1" x14ac:dyDescent="0.25">
      <c r="A12" s="17"/>
      <c r="B12" s="17"/>
      <c r="C12" s="14" t="s">
        <v>19</v>
      </c>
      <c r="D12" s="14">
        <f>IF(AE7=AE8,AE10,AE16)</f>
        <v>0.51166489925768821</v>
      </c>
      <c r="E12" s="16"/>
      <c r="G12" t="s">
        <v>60</v>
      </c>
      <c r="I12" t="s">
        <v>96</v>
      </c>
      <c r="L12" t="s">
        <v>97</v>
      </c>
      <c r="N12" s="16"/>
      <c r="O12" s="16"/>
      <c r="P12" s="16"/>
      <c r="X12" s="4"/>
      <c r="Y12" s="4"/>
      <c r="Z12" s="4"/>
      <c r="AA12" s="4"/>
      <c r="AB12" s="4"/>
      <c r="AC12" s="4"/>
    </row>
    <row r="13" spans="1:43" ht="15" customHeight="1" x14ac:dyDescent="0.25">
      <c r="A13" s="17"/>
      <c r="B13" s="17"/>
      <c r="G13" t="s">
        <v>59</v>
      </c>
      <c r="H13" s="1">
        <f>IF(MIN(AE7:AE8)&gt;39,AE19,"na")</f>
        <v>0.29209739946484486</v>
      </c>
      <c r="I13" s="22" t="str">
        <f>IF(MIN(AE7:AE8)&gt;39,AF19,"na")</f>
        <v>Yes</v>
      </c>
      <c r="L13" s="16" t="s">
        <v>30</v>
      </c>
      <c r="M13" s="31" t="str">
        <f>IF(AE26&gt;0.001,AE26,"&lt;0.001")</f>
        <v>&lt;0.001</v>
      </c>
      <c r="N13" s="16"/>
      <c r="O13" s="16"/>
      <c r="P13" s="16"/>
      <c r="W13" t="str">
        <f>B7</f>
        <v>Fareham</v>
      </c>
      <c r="X13" s="5">
        <f t="shared" ref="X13:AC14" si="10">X7/$AE7</f>
        <v>0.34146341463414637</v>
      </c>
      <c r="Y13" s="5">
        <f t="shared" si="10"/>
        <v>0.70731707317073167</v>
      </c>
      <c r="Z13" s="5">
        <f t="shared" si="10"/>
        <v>0.85365853658536583</v>
      </c>
      <c r="AA13" s="5">
        <f t="shared" si="10"/>
        <v>0.92682926829268297</v>
      </c>
      <c r="AB13" s="5">
        <f t="shared" si="10"/>
        <v>0.97560975609756095</v>
      </c>
      <c r="AC13">
        <f t="shared" si="10"/>
        <v>1</v>
      </c>
      <c r="AN13" t="s">
        <v>12</v>
      </c>
      <c r="AO13">
        <f>AQ7-AQ8</f>
        <v>1.8918345705196185</v>
      </c>
    </row>
    <row r="14" spans="1:43" ht="18.75" x14ac:dyDescent="0.3">
      <c r="A14" s="8" t="s">
        <v>20</v>
      </c>
      <c r="B14" s="8"/>
      <c r="C14" s="8" t="s">
        <v>21</v>
      </c>
      <c r="D14" s="7" t="str">
        <f>IF(AE7=AE8,D12/((AE7+AE8)/2),"Use Dmax")</f>
        <v>Use Dmax</v>
      </c>
      <c r="G14" t="s">
        <v>61</v>
      </c>
      <c r="H14" s="1">
        <f>IF(MIN(AE7:AE8)&gt;39,AE20,"na")</f>
        <v>0.35008732435860079</v>
      </c>
      <c r="I14" s="22" t="str">
        <f>IF(MIN(AE7:AE8)&gt;39,AF20,"na")</f>
        <v>Yes</v>
      </c>
      <c r="L14" t="s">
        <v>34</v>
      </c>
      <c r="M14" s="1" t="str">
        <f>IF(AD24&gt;0.001,AD24,"&lt;0.001")</f>
        <v>&lt;0.001</v>
      </c>
      <c r="N14" s="16"/>
      <c r="O14" s="16"/>
      <c r="P14" s="16"/>
      <c r="W14" t="str">
        <f>B8</f>
        <v>Gosport</v>
      </c>
      <c r="X14" s="5">
        <f t="shared" si="10"/>
        <v>8.6956521739130432E-2</v>
      </c>
      <c r="Y14" s="5">
        <f t="shared" si="10"/>
        <v>0.19565217391304349</v>
      </c>
      <c r="Z14" s="5">
        <f t="shared" si="10"/>
        <v>0.36956521739130432</v>
      </c>
      <c r="AA14" s="5">
        <f t="shared" si="10"/>
        <v>0.47826086956521741</v>
      </c>
      <c r="AB14" s="5">
        <f t="shared" si="10"/>
        <v>0.78260869565217395</v>
      </c>
      <c r="AC14">
        <f t="shared" si="10"/>
        <v>1</v>
      </c>
      <c r="AN14" t="s">
        <v>13</v>
      </c>
      <c r="AO14">
        <f>((AO10/AE7)+(AO11/AE8))^0.5</f>
        <v>0.31004658849056876</v>
      </c>
    </row>
    <row r="15" spans="1:43" ht="18.75" x14ac:dyDescent="0.3">
      <c r="A15" s="8"/>
      <c r="B15" s="8"/>
      <c r="C15" s="8"/>
      <c r="D15" s="8"/>
      <c r="G15" t="s">
        <v>73</v>
      </c>
      <c r="H15" s="1">
        <f>IF(MIN(AE7:AE8)&gt;39,AE21,"na")</f>
        <v>0.41881612423268194</v>
      </c>
      <c r="I15" s="22" t="str">
        <f>IF(MIN(AE7:AE8)&gt;39,AF21,"na")</f>
        <v>Yes</v>
      </c>
      <c r="X15" s="5"/>
      <c r="Y15" s="5"/>
      <c r="Z15" s="5"/>
      <c r="AA15" s="5"/>
      <c r="AB15" s="5"/>
      <c r="AE15" t="s">
        <v>18</v>
      </c>
      <c r="AN15" t="s">
        <v>14</v>
      </c>
      <c r="AO15" s="15">
        <f>AO13/AO14</f>
        <v>6.1017751549205181</v>
      </c>
    </row>
    <row r="16" spans="1:43" x14ac:dyDescent="0.25">
      <c r="A16" s="37" t="str">
        <f>IF(MIN(AE7:AE8)&lt;50,"Your samples may be a bit too small to trust the results of a t-test","Your samples are large so you may choose to use parametric tests like the t-test and F ratio")</f>
        <v>Your samples may be a bit too small to trust the results of a t-test</v>
      </c>
      <c r="B16" s="37"/>
      <c r="C16" s="37"/>
      <c r="D16" s="37"/>
      <c r="W16" t="s">
        <v>17</v>
      </c>
      <c r="X16" s="5">
        <f>ABS(X13-X14)</f>
        <v>0.25450689289501593</v>
      </c>
      <c r="Y16" s="5">
        <f t="shared" ref="Y16:AC16" si="11">ABS(Y13-Y14)</f>
        <v>0.51166489925768821</v>
      </c>
      <c r="Z16" s="5">
        <f t="shared" si="11"/>
        <v>0.48409331919406151</v>
      </c>
      <c r="AA16" s="5">
        <f t="shared" si="11"/>
        <v>0.44856839872746557</v>
      </c>
      <c r="AB16" s="5">
        <f t="shared" si="11"/>
        <v>0.19300106044538701</v>
      </c>
      <c r="AC16">
        <f t="shared" si="11"/>
        <v>0</v>
      </c>
      <c r="AE16">
        <f>MAX(X16:AC16)</f>
        <v>0.51166489925768821</v>
      </c>
      <c r="AN16" t="s">
        <v>0</v>
      </c>
      <c r="AO16">
        <f>AE7+AE8-2</f>
        <v>85</v>
      </c>
    </row>
    <row r="17" spans="1:43" x14ac:dyDescent="0.25">
      <c r="A17" s="37"/>
      <c r="B17" s="37"/>
      <c r="C17" s="37"/>
      <c r="D17" s="37"/>
      <c r="AN17" t="s">
        <v>30</v>
      </c>
      <c r="AO17">
        <f>_xlfn.T.DIST.2T(AO15,AO16)</f>
        <v>3.0084299496687745E-8</v>
      </c>
      <c r="AP17" t="str">
        <f>IF(AO17&gt;0.001,AO17,"&lt;0.001")</f>
        <v>&lt;0.001</v>
      </c>
    </row>
    <row r="18" spans="1:43" x14ac:dyDescent="0.25">
      <c r="A18" s="37"/>
      <c r="B18" s="37"/>
      <c r="C18" s="37"/>
      <c r="D18" s="37"/>
      <c r="AC18" t="s">
        <v>25</v>
      </c>
      <c r="AE18">
        <f>((AE7+AE8)/(AE7*AE8))^0.5</f>
        <v>0.21477749960650355</v>
      </c>
      <c r="AN18" t="s">
        <v>34</v>
      </c>
      <c r="AO18">
        <f>AO17/2</f>
        <v>1.5042149748343872E-8</v>
      </c>
      <c r="AP18" t="str">
        <f>IF(AO18&gt;0.001,AO18,"&lt;0.001")</f>
        <v>&lt;0.001</v>
      </c>
    </row>
    <row r="19" spans="1:43" x14ac:dyDescent="0.25">
      <c r="AC19">
        <v>0.05</v>
      </c>
      <c r="AD19">
        <v>1.36</v>
      </c>
      <c r="AE19">
        <f>AD19*AE18</f>
        <v>0.29209739946484486</v>
      </c>
      <c r="AF19" t="str">
        <f>IF(AE16&gt;AE19,"Yes","No")</f>
        <v>Yes</v>
      </c>
      <c r="AN19" t="s">
        <v>35</v>
      </c>
      <c r="AO19">
        <f>_xlfn.NORM.S.INV(AO18)</f>
        <v>-5.5409454124650726</v>
      </c>
    </row>
    <row r="20" spans="1:43" ht="18.75" x14ac:dyDescent="0.3">
      <c r="A20" s="10" t="s">
        <v>22</v>
      </c>
      <c r="B20" s="10"/>
      <c r="C20" s="8" t="s">
        <v>26</v>
      </c>
      <c r="D20" s="30">
        <f>IF(MIN(AE7:AE8)&gt;24,AO15,"na")</f>
        <v>6.1017751549205181</v>
      </c>
      <c r="AC20">
        <v>0.01</v>
      </c>
      <c r="AD20">
        <v>1.63</v>
      </c>
      <c r="AE20">
        <f>AD20*AE18</f>
        <v>0.35008732435860079</v>
      </c>
      <c r="AF20" t="str">
        <f>IF(AE16&gt;AE20,"Yes","No")</f>
        <v>Yes</v>
      </c>
      <c r="AN20" t="s">
        <v>36</v>
      </c>
      <c r="AO20">
        <f>AO19/((AE7+AE8)^0.5)</f>
        <v>-0.59405170315557787</v>
      </c>
      <c r="AQ20" t="s">
        <v>98</v>
      </c>
    </row>
    <row r="21" spans="1:43" ht="18.75" x14ac:dyDescent="0.3">
      <c r="A21" s="10"/>
      <c r="B21" s="10" t="s">
        <v>23</v>
      </c>
      <c r="C21" s="8" t="s">
        <v>25</v>
      </c>
      <c r="D21" s="21" t="str">
        <f>IF(MIN(AE7:AE8)&gt;24,AP17,"na")</f>
        <v>&lt;0.001</v>
      </c>
      <c r="AC21">
        <v>1E-3</v>
      </c>
      <c r="AD21">
        <v>1.95</v>
      </c>
      <c r="AE21">
        <f>AD21*AE18</f>
        <v>0.41881612423268194</v>
      </c>
      <c r="AF21" t="str">
        <f>IF(AE16&gt;AE21,"Yes","No")</f>
        <v>Yes</v>
      </c>
      <c r="AN21" t="s">
        <v>38</v>
      </c>
      <c r="AO21">
        <f>(MAX(AO10:AO11))/(MIN(AO10:AO11))</f>
        <v>1.6229251006593599</v>
      </c>
    </row>
    <row r="22" spans="1:43" ht="18.75" x14ac:dyDescent="0.3">
      <c r="A22" s="10"/>
      <c r="B22" s="10" t="s">
        <v>24</v>
      </c>
      <c r="C22" s="8" t="s">
        <v>25</v>
      </c>
      <c r="D22" s="21" t="str">
        <f>IF(MIN(AE7:AE8)&gt;24,AP18,"na")</f>
        <v>&lt;0.001</v>
      </c>
      <c r="AO22" t="s">
        <v>42</v>
      </c>
      <c r="AP22" t="s">
        <v>43</v>
      </c>
    </row>
    <row r="23" spans="1:43" x14ac:dyDescent="0.25">
      <c r="AC23" t="s">
        <v>31</v>
      </c>
      <c r="AD23">
        <f>(4*(AE16^2))</f>
        <v>1.0472038765295208</v>
      </c>
      <c r="AE23">
        <f>(AE7*AE8)/(AE7+AE8)</f>
        <v>21.678160919540229</v>
      </c>
      <c r="AF23">
        <f>AD23*AE23</f>
        <v>22.701454150973291</v>
      </c>
      <c r="AN23" t="s">
        <v>40</v>
      </c>
      <c r="AO23">
        <f>_xlfn.F.INV.RT(0.025,MAX(AE7:AE8)-1,MIN(AE7:AE8)-1)</f>
        <v>1.8516359767614001</v>
      </c>
      <c r="AP23">
        <f>_xlfn.F.INV.RT(0.05,MAX(AE7:AE8)-1,MIN(AE7:AE8)-1)</f>
        <v>1.6747644900114913</v>
      </c>
    </row>
    <row r="24" spans="1:43" ht="15.75" x14ac:dyDescent="0.25">
      <c r="B24" s="7" t="s">
        <v>27</v>
      </c>
      <c r="C24" s="7" t="s">
        <v>28</v>
      </c>
      <c r="AC24" t="s">
        <v>32</v>
      </c>
      <c r="AD24">
        <f>_xlfn.CHISQ.DIST.RT(AF23,2)</f>
        <v>1.1760935427685528E-5</v>
      </c>
      <c r="AE24" t="str">
        <f>IF(AD24&gt;0.001,AD24,"&lt;0.001")</f>
        <v>&lt;0.001</v>
      </c>
      <c r="AN24" t="s">
        <v>41</v>
      </c>
      <c r="AO24">
        <f>_xlfn.F.INV.RT(0.005,MAX(AE7:AE8)-1,MIN(AE7:AE8)-1)</f>
        <v>2.2592924154275722</v>
      </c>
      <c r="AP24">
        <f>_xlfn.F.INV.RT(0.01,MAX(AE7:AE8)-1,MIN(AE7:AE8)-1)</f>
        <v>2.0833253340063949</v>
      </c>
    </row>
    <row r="25" spans="1:43" ht="15.75" x14ac:dyDescent="0.25">
      <c r="A25" s="7" t="str">
        <f>B7</f>
        <v>Fareham</v>
      </c>
      <c r="B25" s="1">
        <f>AO7</f>
        <v>2.1951219512195124</v>
      </c>
      <c r="C25" s="5">
        <f>AP10</f>
        <v>1.2692421399229137</v>
      </c>
      <c r="AC25" t="s">
        <v>95</v>
      </c>
      <c r="AD25">
        <f>AD24*2</f>
        <v>2.3521870855371055E-5</v>
      </c>
    </row>
    <row r="26" spans="1:43" ht="15.75" x14ac:dyDescent="0.25">
      <c r="A26" s="7" t="str">
        <f>B8</f>
        <v>Gosport</v>
      </c>
      <c r="B26" s="1">
        <f>AO8</f>
        <v>4.0869565217391308</v>
      </c>
      <c r="C26" s="5">
        <f>AP11</f>
        <v>1.6169393166174135</v>
      </c>
      <c r="AC26" t="s">
        <v>33</v>
      </c>
      <c r="AD26">
        <f>IF(AD25&lt;1,AD25,1)</f>
        <v>2.3521870855371055E-5</v>
      </c>
      <c r="AE26">
        <f>IF(AD26&gt;1,1,AD26)</f>
        <v>2.3521870855371055E-5</v>
      </c>
    </row>
    <row r="28" spans="1:43" x14ac:dyDescent="0.25">
      <c r="A28" t="s">
        <v>37</v>
      </c>
      <c r="C28" s="1">
        <f>ABS(AO20)</f>
        <v>0.59405170315557787</v>
      </c>
    </row>
    <row r="30" spans="1:43" x14ac:dyDescent="0.25">
      <c r="D30" t="s">
        <v>30</v>
      </c>
      <c r="E30" t="s">
        <v>34</v>
      </c>
    </row>
    <row r="31" spans="1:43" x14ac:dyDescent="0.25">
      <c r="A31" t="s">
        <v>39</v>
      </c>
      <c r="C31" s="1">
        <f>AO21</f>
        <v>1.6229251006593599</v>
      </c>
      <c r="D31" t="str">
        <f>IF(C31&lt;AO23,"p &gt; 0.05","p&lt;0.05")</f>
        <v>p &gt; 0.05</v>
      </c>
      <c r="E31" t="str">
        <f>IF(C31&lt;AP23,"p &gt; 0.05","p&lt;0.05")</f>
        <v>p &gt; 0.05</v>
      </c>
    </row>
    <row r="32" spans="1:43" x14ac:dyDescent="0.25">
      <c r="D32" t="str">
        <f>IF(C31&lt;AO24,"p &gt; 0.01","p&lt;0.01")</f>
        <v>p &gt; 0.01</v>
      </c>
      <c r="E32" t="str">
        <f>IF(C31&lt;AP24,"p &gt; 0.01","p&lt;0.01")</f>
        <v>p &gt; 0.01</v>
      </c>
    </row>
  </sheetData>
  <mergeCells count="3">
    <mergeCell ref="A16:D18"/>
    <mergeCell ref="B7:C7"/>
    <mergeCell ref="B8:C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V32"/>
  <sheetViews>
    <sheetView workbookViewId="0">
      <selection activeCell="B1" sqref="B1"/>
    </sheetView>
  </sheetViews>
  <sheetFormatPr defaultRowHeight="15" x14ac:dyDescent="0.25"/>
  <cols>
    <col min="3" max="3" width="8.5703125" customWidth="1"/>
    <col min="4" max="5" width="8.7109375" customWidth="1"/>
    <col min="6" max="6" width="8.85546875" customWidth="1"/>
    <col min="7" max="7" width="8.7109375" customWidth="1"/>
    <col min="8" max="8" width="8.5703125" customWidth="1"/>
    <col min="9" max="9" width="8.7109375" customWidth="1"/>
    <col min="25" max="25" width="12" bestFit="1" customWidth="1"/>
  </cols>
  <sheetData>
    <row r="2" spans="1:48" ht="15" customHeight="1" x14ac:dyDescent="0.25">
      <c r="B2" s="32"/>
      <c r="C2" s="16"/>
      <c r="D2" s="16"/>
      <c r="E2" s="16"/>
      <c r="F2" s="16"/>
      <c r="G2" s="16"/>
      <c r="H2" s="16"/>
      <c r="I2" s="16"/>
    </row>
    <row r="3" spans="1:48" x14ac:dyDescent="0.25">
      <c r="B3" s="16"/>
      <c r="C3" s="16"/>
      <c r="D3" s="16"/>
      <c r="E3" s="16"/>
      <c r="F3" s="16"/>
      <c r="G3" s="16"/>
      <c r="H3" s="16"/>
      <c r="I3" s="16"/>
    </row>
    <row r="4" spans="1:48" x14ac:dyDescent="0.25">
      <c r="Z4" t="s">
        <v>29</v>
      </c>
    </row>
    <row r="5" spans="1:48" ht="15.75" customHeight="1" thickBot="1" x14ac:dyDescent="0.3"/>
    <row r="6" spans="1:48" ht="19.5" thickBot="1" x14ac:dyDescent="0.3">
      <c r="C6" s="11"/>
      <c r="D6" s="2" t="s">
        <v>48</v>
      </c>
      <c r="E6" s="2" t="s">
        <v>44</v>
      </c>
      <c r="F6" s="2" t="s">
        <v>45</v>
      </c>
      <c r="G6" s="2" t="s">
        <v>54</v>
      </c>
      <c r="H6" s="2" t="s">
        <v>46</v>
      </c>
      <c r="I6" s="2" t="s">
        <v>11</v>
      </c>
      <c r="J6" s="2" t="s">
        <v>47</v>
      </c>
      <c r="L6" s="9" t="s">
        <v>7</v>
      </c>
      <c r="M6" s="9"/>
      <c r="N6" s="9"/>
      <c r="O6" s="9" t="str">
        <f>D6</f>
        <v>VSA</v>
      </c>
      <c r="P6" s="9" t="str">
        <f t="shared" ref="P6:U6" si="0">E6</f>
        <v>SA</v>
      </c>
      <c r="Q6" s="9" t="str">
        <f t="shared" si="0"/>
        <v>A</v>
      </c>
      <c r="R6" s="9" t="str">
        <f t="shared" si="0"/>
        <v>N</v>
      </c>
      <c r="S6" s="9" t="str">
        <f t="shared" si="0"/>
        <v>D</v>
      </c>
      <c r="T6" s="9" t="str">
        <f t="shared" si="0"/>
        <v>SD</v>
      </c>
      <c r="U6" s="9" t="str">
        <f t="shared" si="0"/>
        <v>VSD</v>
      </c>
      <c r="AA6" s="4" t="str">
        <f t="shared" ref="AA6:AG6" si="1">D6</f>
        <v>VSA</v>
      </c>
      <c r="AB6" s="4" t="str">
        <f t="shared" si="1"/>
        <v>SA</v>
      </c>
      <c r="AC6" s="4" t="str">
        <f t="shared" si="1"/>
        <v>A</v>
      </c>
      <c r="AD6" s="4" t="str">
        <f t="shared" si="1"/>
        <v>N</v>
      </c>
      <c r="AE6" s="4" t="str">
        <f t="shared" si="1"/>
        <v>D</v>
      </c>
      <c r="AF6" s="4" t="str">
        <f t="shared" si="1"/>
        <v>SD</v>
      </c>
      <c r="AG6" s="4" t="str">
        <f t="shared" si="1"/>
        <v>VSD</v>
      </c>
      <c r="AH6" s="4"/>
      <c r="AI6" s="2" t="s">
        <v>7</v>
      </c>
      <c r="AJ6" s="4"/>
      <c r="AL6" s="4" t="str">
        <f t="shared" ref="AL6:AR6" si="2">D6</f>
        <v>VSA</v>
      </c>
      <c r="AM6" s="4" t="str">
        <f t="shared" si="2"/>
        <v>SA</v>
      </c>
      <c r="AN6" s="4" t="str">
        <f t="shared" si="2"/>
        <v>A</v>
      </c>
      <c r="AO6" s="4" t="str">
        <f t="shared" si="2"/>
        <v>N</v>
      </c>
      <c r="AP6" s="4" t="str">
        <f t="shared" si="2"/>
        <v>D</v>
      </c>
      <c r="AQ6" s="4" t="str">
        <f t="shared" si="2"/>
        <v>SD</v>
      </c>
      <c r="AR6" s="4" t="str">
        <f t="shared" si="2"/>
        <v>VSD</v>
      </c>
      <c r="AT6" t="s">
        <v>9</v>
      </c>
    </row>
    <row r="7" spans="1:48" ht="19.5" thickBot="1" x14ac:dyDescent="0.3">
      <c r="B7" s="40" t="s">
        <v>49</v>
      </c>
      <c r="C7" s="41"/>
      <c r="D7" s="12">
        <v>3</v>
      </c>
      <c r="E7" s="12">
        <v>13</v>
      </c>
      <c r="F7" s="12">
        <v>12</v>
      </c>
      <c r="G7" s="12">
        <v>28</v>
      </c>
      <c r="H7" s="12">
        <v>15</v>
      </c>
      <c r="I7" s="12">
        <v>8</v>
      </c>
      <c r="J7" s="12">
        <v>2</v>
      </c>
      <c r="L7">
        <f>SUM(D7:J7)</f>
        <v>81</v>
      </c>
      <c r="N7" t="str">
        <f>B7</f>
        <v>Male</v>
      </c>
      <c r="O7" s="5">
        <f t="shared" ref="O7:T7" si="3">(D7/$L7)*100</f>
        <v>3.7037037037037033</v>
      </c>
      <c r="P7" s="5">
        <f t="shared" si="3"/>
        <v>16.049382716049383</v>
      </c>
      <c r="Q7" s="5">
        <f t="shared" si="3"/>
        <v>14.814814814814813</v>
      </c>
      <c r="R7" s="5">
        <f t="shared" si="3"/>
        <v>34.567901234567898</v>
      </c>
      <c r="S7" s="5">
        <f t="shared" si="3"/>
        <v>18.518518518518519</v>
      </c>
      <c r="T7" s="5">
        <f t="shared" si="3"/>
        <v>9.8765432098765427</v>
      </c>
      <c r="U7" s="5">
        <f>(J7/$L7)*100</f>
        <v>2.4691358024691357</v>
      </c>
      <c r="Z7" t="str">
        <f>B7</f>
        <v>Male</v>
      </c>
      <c r="AA7">
        <f>D7</f>
        <v>3</v>
      </c>
      <c r="AB7">
        <f t="shared" ref="AB7:AG8" si="4">E7+AA7</f>
        <v>16</v>
      </c>
      <c r="AC7">
        <f t="shared" si="4"/>
        <v>28</v>
      </c>
      <c r="AD7">
        <f t="shared" si="4"/>
        <v>56</v>
      </c>
      <c r="AE7">
        <f t="shared" si="4"/>
        <v>71</v>
      </c>
      <c r="AF7">
        <f t="shared" si="4"/>
        <v>79</v>
      </c>
      <c r="AG7">
        <f t="shared" si="4"/>
        <v>81</v>
      </c>
      <c r="AI7" s="3">
        <f>SUM(D7:J7)</f>
        <v>81</v>
      </c>
      <c r="AK7" t="str">
        <f>B7</f>
        <v>Male</v>
      </c>
      <c r="AL7">
        <f t="shared" ref="AL7:AR7" si="5">D7*D10</f>
        <v>9</v>
      </c>
      <c r="AM7">
        <f t="shared" si="5"/>
        <v>26</v>
      </c>
      <c r="AN7">
        <f t="shared" si="5"/>
        <v>12</v>
      </c>
      <c r="AO7">
        <f t="shared" si="5"/>
        <v>0</v>
      </c>
      <c r="AP7">
        <f t="shared" si="5"/>
        <v>-15</v>
      </c>
      <c r="AQ7">
        <f t="shared" si="5"/>
        <v>-16</v>
      </c>
      <c r="AR7">
        <f t="shared" si="5"/>
        <v>-6</v>
      </c>
      <c r="AT7">
        <f>SUM(AL7:AR7)/AI7</f>
        <v>0.12345679012345678</v>
      </c>
      <c r="AU7" t="s">
        <v>15</v>
      </c>
      <c r="AV7">
        <f>MAX(AT7:AT8)</f>
        <v>0.12345679012345678</v>
      </c>
    </row>
    <row r="8" spans="1:48" ht="19.5" thickBot="1" x14ac:dyDescent="0.3">
      <c r="B8" s="40" t="s">
        <v>50</v>
      </c>
      <c r="C8" s="41"/>
      <c r="D8" s="12">
        <v>2</v>
      </c>
      <c r="E8" s="12">
        <v>12</v>
      </c>
      <c r="F8" s="12">
        <v>12</v>
      </c>
      <c r="G8" s="12">
        <v>27</v>
      </c>
      <c r="H8" s="12">
        <v>14</v>
      </c>
      <c r="I8" s="12">
        <v>7</v>
      </c>
      <c r="J8" s="12">
        <v>8</v>
      </c>
      <c r="L8">
        <f>SUM(D8:J8)</f>
        <v>82</v>
      </c>
      <c r="N8" t="str">
        <f>B8</f>
        <v>Female</v>
      </c>
      <c r="O8" s="5">
        <f t="shared" ref="O8" si="6">(D8/$L8)*100</f>
        <v>2.4390243902439024</v>
      </c>
      <c r="P8" s="5">
        <f t="shared" ref="P8" si="7">(E8/$L8)*100</f>
        <v>14.634146341463413</v>
      </c>
      <c r="Q8" s="5">
        <f t="shared" ref="Q8" si="8">(F8/$L8)*100</f>
        <v>14.634146341463413</v>
      </c>
      <c r="R8" s="5">
        <f t="shared" ref="R8" si="9">(G8/$L8)*100</f>
        <v>32.926829268292686</v>
      </c>
      <c r="S8" s="5">
        <f t="shared" ref="S8" si="10">(H8/$L8)*100</f>
        <v>17.073170731707318</v>
      </c>
      <c r="T8" s="5">
        <f t="shared" ref="T8" si="11">(I8/$L8)*100</f>
        <v>8.536585365853659</v>
      </c>
      <c r="U8" s="5">
        <f>(J8/$L8)*100</f>
        <v>9.7560975609756095</v>
      </c>
      <c r="Z8" t="str">
        <f>B8</f>
        <v>Female</v>
      </c>
      <c r="AA8">
        <f>D8</f>
        <v>2</v>
      </c>
      <c r="AB8">
        <f t="shared" si="4"/>
        <v>14</v>
      </c>
      <c r="AC8">
        <f t="shared" si="4"/>
        <v>26</v>
      </c>
      <c r="AD8">
        <f t="shared" si="4"/>
        <v>53</v>
      </c>
      <c r="AE8">
        <f t="shared" si="4"/>
        <v>67</v>
      </c>
      <c r="AF8">
        <f t="shared" si="4"/>
        <v>74</v>
      </c>
      <c r="AG8">
        <f t="shared" si="4"/>
        <v>82</v>
      </c>
      <c r="AI8" s="3">
        <f>SUM(D8:J8)</f>
        <v>82</v>
      </c>
      <c r="AK8" t="str">
        <f>B8</f>
        <v>Female</v>
      </c>
      <c r="AL8">
        <f t="shared" ref="AL8:AR8" si="12">D8*D10</f>
        <v>6</v>
      </c>
      <c r="AM8">
        <f t="shared" si="12"/>
        <v>24</v>
      </c>
      <c r="AN8">
        <f t="shared" si="12"/>
        <v>12</v>
      </c>
      <c r="AO8">
        <f t="shared" si="12"/>
        <v>0</v>
      </c>
      <c r="AP8">
        <f t="shared" si="12"/>
        <v>-14</v>
      </c>
      <c r="AQ8">
        <f t="shared" si="12"/>
        <v>-14</v>
      </c>
      <c r="AR8">
        <f t="shared" si="12"/>
        <v>-24</v>
      </c>
      <c r="AT8">
        <f>SUM(AL8:AR8)/AI8</f>
        <v>-0.12195121951219512</v>
      </c>
      <c r="AU8" t="s">
        <v>16</v>
      </c>
      <c r="AV8">
        <f>MIN(AT7:AT8)</f>
        <v>-0.12195121951219512</v>
      </c>
    </row>
    <row r="9" spans="1:48" x14ac:dyDescent="0.25">
      <c r="AI9" t="s">
        <v>18</v>
      </c>
      <c r="AT9" t="s">
        <v>10</v>
      </c>
      <c r="AU9" t="s">
        <v>11</v>
      </c>
    </row>
    <row r="10" spans="1:48" ht="18.75" x14ac:dyDescent="0.3">
      <c r="B10" s="8" t="s">
        <v>8</v>
      </c>
      <c r="D10" s="6">
        <v>3</v>
      </c>
      <c r="E10" s="6">
        <v>2</v>
      </c>
      <c r="F10" s="6">
        <v>1</v>
      </c>
      <c r="G10" s="6">
        <v>0</v>
      </c>
      <c r="H10" s="6">
        <v>-1</v>
      </c>
      <c r="I10" s="6">
        <v>-2</v>
      </c>
      <c r="J10" s="6">
        <v>-3</v>
      </c>
      <c r="Z10" t="s">
        <v>17</v>
      </c>
      <c r="AA10">
        <f>ABS(AA7-AA8)</f>
        <v>1</v>
      </c>
      <c r="AB10">
        <f t="shared" ref="AB10:AC10" si="13">ABS(AB7-AB8)</f>
        <v>2</v>
      </c>
      <c r="AC10">
        <f t="shared" si="13"/>
        <v>2</v>
      </c>
      <c r="AD10">
        <f t="shared" ref="AD10:AG10" si="14">ABS(AD7-AD8)</f>
        <v>3</v>
      </c>
      <c r="AE10">
        <f t="shared" si="14"/>
        <v>4</v>
      </c>
      <c r="AF10">
        <f t="shared" si="14"/>
        <v>5</v>
      </c>
      <c r="AG10">
        <f t="shared" si="14"/>
        <v>1</v>
      </c>
      <c r="AI10">
        <f>MAX(AA10:AG10)</f>
        <v>5</v>
      </c>
      <c r="AK10" t="str">
        <f>AK7</f>
        <v>Male</v>
      </c>
      <c r="AL10">
        <f t="shared" ref="AL10:AR10" si="15">((D10-$AT7)^2)*D7</f>
        <v>24.823502514860536</v>
      </c>
      <c r="AM10">
        <f t="shared" si="15"/>
        <v>45.778387440938879</v>
      </c>
      <c r="AN10">
        <f t="shared" si="15"/>
        <v>9.2199359853680853</v>
      </c>
      <c r="AO10">
        <f t="shared" si="15"/>
        <v>0.4267642127724432</v>
      </c>
      <c r="AP10">
        <f t="shared" si="15"/>
        <v>18.932327389117518</v>
      </c>
      <c r="AQ10">
        <f t="shared" si="15"/>
        <v>36.072549916171319</v>
      </c>
      <c r="AR10">
        <f t="shared" si="15"/>
        <v>19.511964639536657</v>
      </c>
      <c r="AT10">
        <f>(SUM(AL10:AR10))/(AI7-1)</f>
        <v>1.9345679012345678</v>
      </c>
      <c r="AU10" s="5">
        <f>AT10^0.5</f>
        <v>1.3908874509587639</v>
      </c>
    </row>
    <row r="11" spans="1:48" x14ac:dyDescent="0.25">
      <c r="AK11" t="str">
        <f>AK8</f>
        <v>Female</v>
      </c>
      <c r="AL11">
        <f t="shared" ref="AL11:AR11" si="16">((D10-$AT8)^2)*D8</f>
        <v>19.493158834027366</v>
      </c>
      <c r="AM11">
        <f t="shared" si="16"/>
        <v>54.032123735871508</v>
      </c>
      <c r="AN11">
        <f t="shared" si="16"/>
        <v>15.105294467578826</v>
      </c>
      <c r="AO11">
        <f t="shared" si="16"/>
        <v>0.40154669839381318</v>
      </c>
      <c r="AP11">
        <f t="shared" si="16"/>
        <v>10.793575252825701</v>
      </c>
      <c r="AQ11">
        <f t="shared" si="16"/>
        <v>24.689470553242113</v>
      </c>
      <c r="AR11">
        <f t="shared" si="16"/>
        <v>66.26531826293872</v>
      </c>
      <c r="AT11">
        <f>(SUM(AL11:AR11))/(AI8-1)</f>
        <v>2.355314664257754</v>
      </c>
      <c r="AU11" s="5">
        <f>AT11^0.5</f>
        <v>1.5347034450530677</v>
      </c>
    </row>
    <row r="12" spans="1:48" ht="17.25" customHeight="1" x14ac:dyDescent="0.25">
      <c r="A12" s="17"/>
      <c r="B12" s="17"/>
      <c r="C12" s="14" t="s">
        <v>19</v>
      </c>
      <c r="D12" s="14">
        <f>IF(AI7=AI8,AI10,AI16)</f>
        <v>7.2869617585064717E-2</v>
      </c>
      <c r="E12" s="16"/>
      <c r="G12" t="s">
        <v>60</v>
      </c>
      <c r="I12" t="s">
        <v>62</v>
      </c>
      <c r="J12" s="16"/>
      <c r="K12" s="16"/>
      <c r="L12" t="s">
        <v>97</v>
      </c>
      <c r="AA12" s="4"/>
      <c r="AB12" s="4"/>
      <c r="AC12" s="4"/>
      <c r="AD12" s="4"/>
      <c r="AE12" s="4"/>
      <c r="AF12" s="4"/>
      <c r="AG12" s="4"/>
    </row>
    <row r="13" spans="1:48" ht="15" customHeight="1" x14ac:dyDescent="0.25">
      <c r="A13" s="17"/>
      <c r="B13" s="17"/>
      <c r="G13" t="s">
        <v>59</v>
      </c>
      <c r="H13" s="1">
        <f>IF(MIN(AI7:AI8)&gt;39,AH19,"na")</f>
        <v>0.21305085182230599</v>
      </c>
      <c r="I13" s="22" t="str">
        <f>IF(MIN(AI7:AI8)&gt;39,AI19,"na")</f>
        <v>No</v>
      </c>
      <c r="J13" s="16"/>
      <c r="K13" s="16"/>
      <c r="L13" s="16" t="s">
        <v>30</v>
      </c>
      <c r="M13" s="31">
        <f>IF(AG26&lt;1,AH26,1)</f>
        <v>1</v>
      </c>
      <c r="Z13" t="str">
        <f>B7</f>
        <v>Male</v>
      </c>
      <c r="AA13">
        <f t="shared" ref="AA13:AG14" si="17">AA7/$AI7</f>
        <v>3.7037037037037035E-2</v>
      </c>
      <c r="AB13">
        <f t="shared" si="17"/>
        <v>0.19753086419753085</v>
      </c>
      <c r="AC13">
        <f t="shared" si="17"/>
        <v>0.34567901234567899</v>
      </c>
      <c r="AD13">
        <f t="shared" si="17"/>
        <v>0.69135802469135799</v>
      </c>
      <c r="AE13">
        <f t="shared" si="17"/>
        <v>0.87654320987654322</v>
      </c>
      <c r="AF13">
        <f t="shared" si="17"/>
        <v>0.97530864197530864</v>
      </c>
      <c r="AG13">
        <f t="shared" si="17"/>
        <v>1</v>
      </c>
      <c r="AR13" t="s">
        <v>12</v>
      </c>
      <c r="AS13">
        <f>AV7-AV8</f>
        <v>0.2454080096356519</v>
      </c>
    </row>
    <row r="14" spans="1:48" ht="18.75" x14ac:dyDescent="0.3">
      <c r="A14" s="8" t="s">
        <v>20</v>
      </c>
      <c r="B14" s="8"/>
      <c r="C14" s="8" t="s">
        <v>21</v>
      </c>
      <c r="D14" s="21" t="str">
        <f>IF(AI7=AI8,D12/((AI7+AI8)/2),"Use Dmax")</f>
        <v>Use Dmax</v>
      </c>
      <c r="G14" t="s">
        <v>61</v>
      </c>
      <c r="H14" s="1">
        <f>IF(MIN(AI7:AI8)&gt;39,AH20,"na")</f>
        <v>0.25534771211055785</v>
      </c>
      <c r="I14" s="22" t="str">
        <f>IF(MIN(AI7:AI8)&gt;39,AI20,"na")</f>
        <v>No</v>
      </c>
      <c r="J14" s="16"/>
      <c r="K14" s="16"/>
      <c r="L14" t="s">
        <v>34</v>
      </c>
      <c r="M14" s="1">
        <f>AH24</f>
        <v>0.64872448365781754</v>
      </c>
      <c r="Z14" t="str">
        <f>B8</f>
        <v>Female</v>
      </c>
      <c r="AA14">
        <f t="shared" si="17"/>
        <v>2.4390243902439025E-2</v>
      </c>
      <c r="AB14">
        <f t="shared" si="17"/>
        <v>0.17073170731707318</v>
      </c>
      <c r="AC14">
        <f t="shared" si="17"/>
        <v>0.31707317073170732</v>
      </c>
      <c r="AD14">
        <f t="shared" si="17"/>
        <v>0.64634146341463417</v>
      </c>
      <c r="AE14">
        <f t="shared" si="17"/>
        <v>0.81707317073170727</v>
      </c>
      <c r="AF14">
        <f t="shared" si="17"/>
        <v>0.90243902439024393</v>
      </c>
      <c r="AG14">
        <f t="shared" si="17"/>
        <v>1</v>
      </c>
      <c r="AR14" t="s">
        <v>13</v>
      </c>
      <c r="AS14">
        <f>((AT10/AI7)+(AT11/AI8))^0.5</f>
        <v>0.22936194954775777</v>
      </c>
    </row>
    <row r="15" spans="1:48" ht="18.75" x14ac:dyDescent="0.3">
      <c r="A15" s="8"/>
      <c r="B15" s="8"/>
      <c r="C15" s="8"/>
      <c r="D15" s="8"/>
      <c r="G15" t="s">
        <v>73</v>
      </c>
      <c r="H15" s="1">
        <f>IF(MIN(AI7:AI8)&gt;39,AH21,"na")</f>
        <v>0.30547732430404162</v>
      </c>
      <c r="I15" s="22" t="str">
        <f>IF(MIN(AI7:AI8)&gt;39,AI21,"na")</f>
        <v>No</v>
      </c>
      <c r="AI15" t="s">
        <v>18</v>
      </c>
      <c r="AR15" t="s">
        <v>14</v>
      </c>
      <c r="AS15" s="15">
        <f>AS13/AS14</f>
        <v>1.0699595557132855</v>
      </c>
    </row>
    <row r="16" spans="1:48" x14ac:dyDescent="0.25">
      <c r="A16" s="37" t="str">
        <f>IF(MIN(AI7:AI8)&lt;50,"Your samples may be a bit too small to trust the results of a t-test","Your samples are large so you may choose to use parametric tests like the t-test and F ratio")</f>
        <v>Your samples are large so you may choose to use parametric tests like the t-test and F ratio</v>
      </c>
      <c r="B16" s="37"/>
      <c r="C16" s="37"/>
      <c r="D16" s="37"/>
      <c r="Z16" t="s">
        <v>17</v>
      </c>
      <c r="AA16">
        <f>ABS(AA13-AA14)</f>
        <v>1.264679313459801E-2</v>
      </c>
      <c r="AB16">
        <f t="shared" ref="AB16:AG16" si="18">ABS(AB13-AB14)</f>
        <v>2.679915688045767E-2</v>
      </c>
      <c r="AC16">
        <f t="shared" si="18"/>
        <v>2.8605841613971672E-2</v>
      </c>
      <c r="AD16">
        <f t="shared" ref="AD16" si="19">ABS(AD13-AD14)</f>
        <v>4.5016561276723821E-2</v>
      </c>
      <c r="AE16">
        <f t="shared" si="18"/>
        <v>5.9470039144835951E-2</v>
      </c>
      <c r="AF16">
        <f t="shared" si="18"/>
        <v>7.2869617585064717E-2</v>
      </c>
      <c r="AG16">
        <f t="shared" si="18"/>
        <v>0</v>
      </c>
      <c r="AI16">
        <f>MAX(AA16:AG16)</f>
        <v>7.2869617585064717E-2</v>
      </c>
      <c r="AR16" t="s">
        <v>0</v>
      </c>
      <c r="AS16">
        <f>AI7+AI8-2</f>
        <v>161</v>
      </c>
    </row>
    <row r="17" spans="1:45" x14ac:dyDescent="0.25">
      <c r="A17" s="37"/>
      <c r="B17" s="37"/>
      <c r="C17" s="37"/>
      <c r="D17" s="37"/>
      <c r="AQ17" t="s">
        <v>30</v>
      </c>
      <c r="AR17">
        <f>_xlfn.T.DIST.2T(AS15,AS16)</f>
        <v>0.28623896929569809</v>
      </c>
      <c r="AS17">
        <f>IF(AR17&gt;0.001,AR17,"p&lt; 0.001")</f>
        <v>0.28623896929569809</v>
      </c>
    </row>
    <row r="18" spans="1:45" x14ac:dyDescent="0.25">
      <c r="A18" s="37"/>
      <c r="B18" s="37"/>
      <c r="C18" s="37"/>
      <c r="D18" s="37"/>
      <c r="AF18" t="s">
        <v>25</v>
      </c>
      <c r="AH18">
        <f>((AI7+AI8)/(AI7*AI8))^0.5</f>
        <v>0.15665503810463674</v>
      </c>
      <c r="AQ18" t="s">
        <v>34</v>
      </c>
      <c r="AR18">
        <f>AR17/2</f>
        <v>0.14311948464784904</v>
      </c>
      <c r="AS18">
        <f>IF(AR18&gt;0.001,AR18,"p&lt; 0.001")</f>
        <v>0.14311948464784904</v>
      </c>
    </row>
    <row r="19" spans="1:45" x14ac:dyDescent="0.25">
      <c r="AF19">
        <v>0.05</v>
      </c>
      <c r="AG19">
        <v>1.36</v>
      </c>
      <c r="AH19">
        <f>AG19*AH18</f>
        <v>0.21305085182230599</v>
      </c>
      <c r="AI19" t="str">
        <f>IF(AI16&gt;AH19,"Yes","No")</f>
        <v>No</v>
      </c>
      <c r="AQ19" t="s">
        <v>35</v>
      </c>
      <c r="AR19">
        <f>_xlfn.NORM.S.INV(AR18)</f>
        <v>-1.0664086143287059</v>
      </c>
    </row>
    <row r="20" spans="1:45" ht="18.75" x14ac:dyDescent="0.3">
      <c r="A20" s="10" t="s">
        <v>22</v>
      </c>
      <c r="B20" s="10"/>
      <c r="C20" s="8" t="s">
        <v>26</v>
      </c>
      <c r="D20" s="21">
        <f>IF(MIN(AI7:AI8)&gt;24,AS15,"na")</f>
        <v>1.0699595557132855</v>
      </c>
      <c r="AF20">
        <v>0.01</v>
      </c>
      <c r="AG20">
        <v>1.63</v>
      </c>
      <c r="AH20">
        <f>AG20*AH18</f>
        <v>0.25534771211055785</v>
      </c>
      <c r="AI20" t="str">
        <f>IF(AI16&gt;AH20,"Yes","No")</f>
        <v>No</v>
      </c>
      <c r="AQ20" t="s">
        <v>36</v>
      </c>
      <c r="AR20">
        <f>AR19/((AI7+AI8)^0.5)</f>
        <v>-8.3527569113013636E-2</v>
      </c>
    </row>
    <row r="21" spans="1:45" ht="18.75" x14ac:dyDescent="0.3">
      <c r="A21" s="10"/>
      <c r="B21" s="10" t="s">
        <v>23</v>
      </c>
      <c r="C21" s="8" t="s">
        <v>25</v>
      </c>
      <c r="D21" s="21">
        <f>IF(MIN(AI7:AI8)&gt;24,AS17,"na")</f>
        <v>0.28623896929569809</v>
      </c>
      <c r="AF21">
        <v>1E-3</v>
      </c>
      <c r="AG21">
        <v>1.95</v>
      </c>
      <c r="AH21">
        <f>AG21*AH18</f>
        <v>0.30547732430404162</v>
      </c>
      <c r="AI21" t="str">
        <f>IF(AI16&gt;AH21,"Yes","No")</f>
        <v>No</v>
      </c>
      <c r="AQ21" t="s">
        <v>38</v>
      </c>
      <c r="AR21">
        <f>(MAX(AT10:AT11))/(MIN(AT10:AT11))</f>
        <v>1.2174887543387243</v>
      </c>
    </row>
    <row r="22" spans="1:45" ht="18.75" x14ac:dyDescent="0.3">
      <c r="A22" s="10"/>
      <c r="B22" s="10" t="s">
        <v>24</v>
      </c>
      <c r="C22" s="8" t="s">
        <v>25</v>
      </c>
      <c r="D22" s="21">
        <f>IF(MIN(AI7:AI8)&gt;24,AS18,"na")</f>
        <v>0.14311948464784904</v>
      </c>
      <c r="AR22" t="s">
        <v>42</v>
      </c>
      <c r="AS22" t="s">
        <v>43</v>
      </c>
    </row>
    <row r="23" spans="1:45" x14ac:dyDescent="0.25">
      <c r="AF23" t="s">
        <v>31</v>
      </c>
      <c r="AG23">
        <f>(4*(AI16^2))</f>
        <v>2.1239924667974291E-2</v>
      </c>
      <c r="AH23">
        <f>(AI7*AI8)/(AI7+AI8)</f>
        <v>40.74846625766871</v>
      </c>
      <c r="AI23">
        <f>AG23*AH23</f>
        <v>0.86549435364837568</v>
      </c>
      <c r="AQ23" t="s">
        <v>40</v>
      </c>
      <c r="AR23">
        <f>_xlfn.F.INV.RT(0.025,MAX(AI7:AI8)-1,MIN(AI7:AI8)-1)</f>
        <v>1.553204232662307</v>
      </c>
      <c r="AS23">
        <f>_xlfn.F.INV.RT(0.05,MAX(AI7:AI8)-1,MIN(AI7:AI8)-1)</f>
        <v>1.4464074451933666</v>
      </c>
    </row>
    <row r="24" spans="1:45" ht="15.75" x14ac:dyDescent="0.25">
      <c r="B24" s="7" t="s">
        <v>27</v>
      </c>
      <c r="C24" s="7" t="s">
        <v>28</v>
      </c>
      <c r="AF24" t="s">
        <v>32</v>
      </c>
      <c r="AG24">
        <f>_xlfn.CHISQ.DIST.RT(AI23,2)</f>
        <v>0.64872448365781754</v>
      </c>
      <c r="AH24">
        <f>IF(AG24&gt;0.001,AG24,"P&gt;0.01")</f>
        <v>0.64872448365781754</v>
      </c>
      <c r="AQ24" t="s">
        <v>41</v>
      </c>
      <c r="AR24">
        <f>_xlfn.F.INV.RT(0.005,MAX(AI7:AI8)-1,MIN(AI7:AI8)-1)</f>
        <v>1.7867641839307566</v>
      </c>
      <c r="AS24">
        <f>_xlfn.F.INV.RT(0.01,MAX(AI7:AI8)-1,MIN(AI7:AI8)-1)</f>
        <v>1.6879373297338538</v>
      </c>
    </row>
    <row r="25" spans="1:45" ht="15.75" x14ac:dyDescent="0.25">
      <c r="A25" s="7" t="str">
        <f>B7</f>
        <v>Male</v>
      </c>
      <c r="B25" s="1">
        <f>AT7</f>
        <v>0.12345679012345678</v>
      </c>
      <c r="C25" s="5">
        <f>AU10</f>
        <v>1.3908874509587639</v>
      </c>
    </row>
    <row r="26" spans="1:45" ht="15.75" x14ac:dyDescent="0.25">
      <c r="A26" s="7" t="str">
        <f>B8</f>
        <v>Female</v>
      </c>
      <c r="B26" s="1">
        <f>AT8</f>
        <v>-0.12195121951219512</v>
      </c>
      <c r="C26" s="5">
        <f>AU11</f>
        <v>1.5347034450530677</v>
      </c>
      <c r="AF26" t="s">
        <v>33</v>
      </c>
      <c r="AG26">
        <f>AG24*2</f>
        <v>1.2974489673156351</v>
      </c>
      <c r="AH26">
        <f t="shared" ref="AH26" si="20">IF(AG26&gt;0.001,AG26,"P&gt;0.01")</f>
        <v>1.2974489673156351</v>
      </c>
    </row>
    <row r="28" spans="1:45" x14ac:dyDescent="0.25">
      <c r="A28" t="s">
        <v>37</v>
      </c>
      <c r="C28" s="1">
        <f>ABS(AR20)</f>
        <v>8.3527569113013636E-2</v>
      </c>
    </row>
    <row r="30" spans="1:45" x14ac:dyDescent="0.25">
      <c r="D30" t="s">
        <v>30</v>
      </c>
      <c r="E30" t="s">
        <v>34</v>
      </c>
    </row>
    <row r="31" spans="1:45" x14ac:dyDescent="0.25">
      <c r="A31" t="s">
        <v>39</v>
      </c>
      <c r="C31" s="1">
        <f>AR21</f>
        <v>1.2174887543387243</v>
      </c>
      <c r="D31" t="str">
        <f>IF(C31&lt;AR23,"p &gt; 0.05","p&lt;0.05")</f>
        <v>p &gt; 0.05</v>
      </c>
      <c r="E31" t="str">
        <f>IF(C31&lt;AS23,"p &gt; 0.05","p&lt;0.05")</f>
        <v>p &gt; 0.05</v>
      </c>
    </row>
    <row r="32" spans="1:45" x14ac:dyDescent="0.25">
      <c r="D32" t="str">
        <f>IF(C31&lt;AR24,"p &gt; 0.01","p&lt;0.01")</f>
        <v>p &gt; 0.01</v>
      </c>
      <c r="E32" t="str">
        <f>IF(C31&lt;AS24,"p &gt; 0.01","p&lt;0.01")</f>
        <v>p &gt; 0.01</v>
      </c>
    </row>
  </sheetData>
  <mergeCells count="3">
    <mergeCell ref="B7:C7"/>
    <mergeCell ref="B8:C8"/>
    <mergeCell ref="A16:D1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32"/>
  <sheetViews>
    <sheetView workbookViewId="0">
      <selection activeCell="M3" sqref="M3"/>
    </sheetView>
  </sheetViews>
  <sheetFormatPr defaultRowHeight="15" x14ac:dyDescent="0.25"/>
  <cols>
    <col min="3" max="3" width="8.5703125" customWidth="1"/>
    <col min="4" max="5" width="8.7109375" customWidth="1"/>
    <col min="6" max="6" width="8.85546875" customWidth="1"/>
    <col min="7" max="7" width="8.7109375" customWidth="1"/>
    <col min="8" max="8" width="8.5703125" customWidth="1"/>
    <col min="9" max="9" width="8.7109375" customWidth="1"/>
    <col min="25" max="25" width="12" bestFit="1" customWidth="1"/>
  </cols>
  <sheetData>
    <row r="2" spans="1:54" ht="15" customHeight="1" x14ac:dyDescent="0.25">
      <c r="B2" s="32"/>
      <c r="C2" s="16"/>
      <c r="D2" s="16"/>
      <c r="E2" s="16"/>
      <c r="F2" s="16"/>
      <c r="G2" s="16"/>
      <c r="H2" s="16"/>
      <c r="I2" s="16"/>
    </row>
    <row r="3" spans="1:54" x14ac:dyDescent="0.25">
      <c r="B3" s="16"/>
      <c r="C3" s="16"/>
      <c r="D3" s="16"/>
      <c r="E3" s="16"/>
      <c r="F3" s="16"/>
      <c r="G3" s="16"/>
      <c r="H3" s="16"/>
      <c r="I3" s="16"/>
    </row>
    <row r="4" spans="1:54" x14ac:dyDescent="0.25">
      <c r="AD4" t="s">
        <v>29</v>
      </c>
    </row>
    <row r="5" spans="1:54" ht="15.75" customHeight="1" thickBot="1" x14ac:dyDescent="0.3">
      <c r="P5" t="s">
        <v>71</v>
      </c>
    </row>
    <row r="6" spans="1:54" ht="19.5" thickBot="1" x14ac:dyDescent="0.3">
      <c r="C6" s="11"/>
      <c r="D6" s="2" t="s">
        <v>45</v>
      </c>
      <c r="E6" s="2" t="s">
        <v>51</v>
      </c>
      <c r="F6" s="2" t="s">
        <v>52</v>
      </c>
      <c r="G6" s="2" t="s">
        <v>46</v>
      </c>
      <c r="H6" s="2" t="s">
        <v>53</v>
      </c>
      <c r="I6" s="2" t="s">
        <v>63</v>
      </c>
      <c r="J6" s="2" t="s">
        <v>64</v>
      </c>
      <c r="K6" s="2" t="s">
        <v>65</v>
      </c>
      <c r="M6" s="9" t="s">
        <v>7</v>
      </c>
      <c r="N6" s="9"/>
      <c r="O6" s="9"/>
      <c r="P6" s="9" t="str">
        <f>D6</f>
        <v>A</v>
      </c>
      <c r="Q6" s="9" t="str">
        <f t="shared" ref="Q6:W6" si="0">E6</f>
        <v>B</v>
      </c>
      <c r="R6" s="9" t="str">
        <f t="shared" si="0"/>
        <v>C</v>
      </c>
      <c r="S6" s="9" t="str">
        <f t="shared" si="0"/>
        <v>D</v>
      </c>
      <c r="T6" s="9" t="str">
        <f t="shared" si="0"/>
        <v>E</v>
      </c>
      <c r="U6" s="9" t="str">
        <f t="shared" si="0"/>
        <v>F</v>
      </c>
      <c r="V6" s="9" t="str">
        <f t="shared" si="0"/>
        <v>G</v>
      </c>
      <c r="W6" s="9" t="str">
        <f t="shared" si="0"/>
        <v>H</v>
      </c>
      <c r="X6" s="9"/>
      <c r="AE6" s="4" t="str">
        <f t="shared" ref="AE6:AL6" si="1">D6</f>
        <v>A</v>
      </c>
      <c r="AF6" s="4" t="str">
        <f t="shared" si="1"/>
        <v>B</v>
      </c>
      <c r="AG6" s="4" t="str">
        <f t="shared" si="1"/>
        <v>C</v>
      </c>
      <c r="AH6" s="4" t="str">
        <f t="shared" si="1"/>
        <v>D</v>
      </c>
      <c r="AI6" s="4" t="str">
        <f t="shared" si="1"/>
        <v>E</v>
      </c>
      <c r="AJ6" s="4" t="str">
        <f t="shared" si="1"/>
        <v>F</v>
      </c>
      <c r="AK6" s="4" t="str">
        <f t="shared" si="1"/>
        <v>G</v>
      </c>
      <c r="AL6" s="4" t="str">
        <f t="shared" si="1"/>
        <v>H</v>
      </c>
      <c r="AM6" s="4"/>
      <c r="AN6" s="2" t="s">
        <v>7</v>
      </c>
      <c r="AO6" s="4"/>
      <c r="AQ6" s="4" t="str">
        <f t="shared" ref="AQ6:AX6" si="2">D6</f>
        <v>A</v>
      </c>
      <c r="AR6" s="4" t="str">
        <f t="shared" si="2"/>
        <v>B</v>
      </c>
      <c r="AS6" s="4" t="str">
        <f t="shared" si="2"/>
        <v>C</v>
      </c>
      <c r="AT6" s="4" t="str">
        <f t="shared" si="2"/>
        <v>D</v>
      </c>
      <c r="AU6" s="4" t="str">
        <f t="shared" si="2"/>
        <v>E</v>
      </c>
      <c r="AV6" s="4" t="str">
        <f t="shared" si="2"/>
        <v>F</v>
      </c>
      <c r="AW6" s="4" t="str">
        <f t="shared" si="2"/>
        <v>G</v>
      </c>
      <c r="AX6" s="4" t="str">
        <f t="shared" si="2"/>
        <v>H</v>
      </c>
      <c r="AZ6" t="s">
        <v>9</v>
      </c>
    </row>
    <row r="7" spans="1:54" ht="19.5" thickBot="1" x14ac:dyDescent="0.3">
      <c r="B7" s="40" t="s">
        <v>49</v>
      </c>
      <c r="C7" s="41"/>
      <c r="D7" s="12">
        <v>43</v>
      </c>
      <c r="E7" s="12">
        <v>25</v>
      </c>
      <c r="F7" s="12">
        <v>32</v>
      </c>
      <c r="G7" s="12">
        <v>29</v>
      </c>
      <c r="H7" s="12">
        <v>18</v>
      </c>
      <c r="I7" s="12">
        <v>15</v>
      </c>
      <c r="J7" s="12">
        <v>12</v>
      </c>
      <c r="K7" s="12">
        <v>6</v>
      </c>
      <c r="M7">
        <f>SUM(D7:K7)</f>
        <v>180</v>
      </c>
      <c r="O7" t="str">
        <f>B7</f>
        <v>Male</v>
      </c>
      <c r="P7" s="5">
        <f>(D7/$M7)*100</f>
        <v>23.888888888888889</v>
      </c>
      <c r="Q7" s="5">
        <f t="shared" ref="Q7:W8" si="3">(E7/$M7)*100</f>
        <v>13.888888888888889</v>
      </c>
      <c r="R7" s="5">
        <f t="shared" si="3"/>
        <v>17.777777777777779</v>
      </c>
      <c r="S7" s="5">
        <f t="shared" si="3"/>
        <v>16.111111111111111</v>
      </c>
      <c r="T7" s="5">
        <f t="shared" si="3"/>
        <v>10</v>
      </c>
      <c r="U7" s="5">
        <f t="shared" si="3"/>
        <v>8.3333333333333321</v>
      </c>
      <c r="V7" s="5">
        <f t="shared" si="3"/>
        <v>6.666666666666667</v>
      </c>
      <c r="W7" s="5">
        <f t="shared" si="3"/>
        <v>3.3333333333333335</v>
      </c>
      <c r="AD7" t="str">
        <f>B7</f>
        <v>Male</v>
      </c>
      <c r="AE7">
        <f>D7</f>
        <v>43</v>
      </c>
      <c r="AF7">
        <f t="shared" ref="AF7:AL8" si="4">E7+AE7</f>
        <v>68</v>
      </c>
      <c r="AG7">
        <f t="shared" si="4"/>
        <v>100</v>
      </c>
      <c r="AH7">
        <f t="shared" si="4"/>
        <v>129</v>
      </c>
      <c r="AI7">
        <f t="shared" si="4"/>
        <v>147</v>
      </c>
      <c r="AJ7">
        <f t="shared" si="4"/>
        <v>162</v>
      </c>
      <c r="AK7">
        <f t="shared" si="4"/>
        <v>174</v>
      </c>
      <c r="AL7">
        <f t="shared" si="4"/>
        <v>180</v>
      </c>
      <c r="AN7" s="3">
        <f>SUM(D7:K7)</f>
        <v>180</v>
      </c>
      <c r="AP7" t="str">
        <f>B7</f>
        <v>Male</v>
      </c>
      <c r="AQ7">
        <f t="shared" ref="AQ7:AX7" si="5">D7*D10</f>
        <v>43</v>
      </c>
      <c r="AR7">
        <f t="shared" si="5"/>
        <v>50</v>
      </c>
      <c r="AS7">
        <f t="shared" si="5"/>
        <v>96</v>
      </c>
      <c r="AT7">
        <f t="shared" si="5"/>
        <v>116</v>
      </c>
      <c r="AU7">
        <f t="shared" si="5"/>
        <v>90</v>
      </c>
      <c r="AV7">
        <f t="shared" si="5"/>
        <v>90</v>
      </c>
      <c r="AW7">
        <f t="shared" si="5"/>
        <v>84</v>
      </c>
      <c r="AX7">
        <f t="shared" si="5"/>
        <v>48</v>
      </c>
      <c r="AZ7">
        <f>SUM(AQ7:AX7)/AN7</f>
        <v>3.4277777777777776</v>
      </c>
      <c r="BA7" t="s">
        <v>15</v>
      </c>
      <c r="BB7">
        <f>MAX(AZ7:AZ8)</f>
        <v>3.693121693121693</v>
      </c>
    </row>
    <row r="8" spans="1:54" ht="19.5" thickBot="1" x14ac:dyDescent="0.3">
      <c r="B8" s="40" t="s">
        <v>50</v>
      </c>
      <c r="C8" s="41"/>
      <c r="D8" s="12">
        <v>42</v>
      </c>
      <c r="E8" s="12">
        <v>25</v>
      </c>
      <c r="F8" s="12">
        <v>32</v>
      </c>
      <c r="G8" s="12">
        <v>28</v>
      </c>
      <c r="H8" s="12">
        <v>18</v>
      </c>
      <c r="I8" s="12">
        <v>16</v>
      </c>
      <c r="J8" s="12">
        <v>12</v>
      </c>
      <c r="K8" s="12">
        <v>16</v>
      </c>
      <c r="M8">
        <f>SUM(D8:K8)</f>
        <v>189</v>
      </c>
      <c r="O8" t="str">
        <f>B8</f>
        <v>Female</v>
      </c>
      <c r="P8" s="5">
        <f>(D8/$M8)*100</f>
        <v>22.222222222222221</v>
      </c>
      <c r="Q8" s="5">
        <f t="shared" si="3"/>
        <v>13.227513227513226</v>
      </c>
      <c r="R8" s="5">
        <f t="shared" si="3"/>
        <v>16.93121693121693</v>
      </c>
      <c r="S8" s="5">
        <f t="shared" si="3"/>
        <v>14.814814814814813</v>
      </c>
      <c r="T8" s="5">
        <f t="shared" si="3"/>
        <v>9.5238095238095237</v>
      </c>
      <c r="U8" s="5">
        <f t="shared" si="3"/>
        <v>8.4656084656084651</v>
      </c>
      <c r="V8" s="5">
        <f t="shared" si="3"/>
        <v>6.3492063492063489</v>
      </c>
      <c r="W8" s="5">
        <f t="shared" si="3"/>
        <v>8.4656084656084651</v>
      </c>
      <c r="AD8" t="str">
        <f>B8</f>
        <v>Female</v>
      </c>
      <c r="AE8">
        <f>D8</f>
        <v>42</v>
      </c>
      <c r="AF8">
        <f t="shared" si="4"/>
        <v>67</v>
      </c>
      <c r="AG8">
        <f t="shared" si="4"/>
        <v>99</v>
      </c>
      <c r="AH8">
        <f t="shared" si="4"/>
        <v>127</v>
      </c>
      <c r="AI8">
        <f t="shared" si="4"/>
        <v>145</v>
      </c>
      <c r="AJ8">
        <f t="shared" si="4"/>
        <v>161</v>
      </c>
      <c r="AK8">
        <f t="shared" si="4"/>
        <v>173</v>
      </c>
      <c r="AL8">
        <f t="shared" si="4"/>
        <v>189</v>
      </c>
      <c r="AN8" s="3">
        <f>SUM(D8:K8)</f>
        <v>189</v>
      </c>
      <c r="AP8" t="str">
        <f>B8</f>
        <v>Female</v>
      </c>
      <c r="AQ8">
        <f t="shared" ref="AQ8:AX8" si="6">D8*D10</f>
        <v>42</v>
      </c>
      <c r="AR8">
        <f t="shared" si="6"/>
        <v>50</v>
      </c>
      <c r="AS8">
        <f t="shared" si="6"/>
        <v>96</v>
      </c>
      <c r="AT8">
        <f t="shared" si="6"/>
        <v>112</v>
      </c>
      <c r="AU8">
        <f t="shared" si="6"/>
        <v>90</v>
      </c>
      <c r="AV8">
        <f t="shared" si="6"/>
        <v>96</v>
      </c>
      <c r="AW8">
        <f t="shared" si="6"/>
        <v>84</v>
      </c>
      <c r="AX8">
        <f t="shared" si="6"/>
        <v>128</v>
      </c>
      <c r="AZ8">
        <f>SUM(AQ8:AX8)/AN8</f>
        <v>3.693121693121693</v>
      </c>
      <c r="BA8" t="s">
        <v>16</v>
      </c>
      <c r="BB8">
        <f>MIN(AZ7:AZ8)</f>
        <v>3.4277777777777776</v>
      </c>
    </row>
    <row r="9" spans="1:54" x14ac:dyDescent="0.25">
      <c r="AN9" t="s">
        <v>18</v>
      </c>
      <c r="AZ9" t="s">
        <v>10</v>
      </c>
      <c r="BA9" t="s">
        <v>11</v>
      </c>
    </row>
    <row r="10" spans="1:54" ht="18.75" x14ac:dyDescent="0.3">
      <c r="B10" s="8" t="s">
        <v>8</v>
      </c>
      <c r="D10" s="6">
        <v>1</v>
      </c>
      <c r="E10" s="6">
        <v>2</v>
      </c>
      <c r="F10" s="6">
        <v>3</v>
      </c>
      <c r="G10" s="6">
        <v>4</v>
      </c>
      <c r="H10" s="6">
        <v>5</v>
      </c>
      <c r="I10" s="6">
        <v>6</v>
      </c>
      <c r="J10" s="6">
        <v>7</v>
      </c>
      <c r="K10" s="6">
        <v>8</v>
      </c>
      <c r="AD10" t="s">
        <v>17</v>
      </c>
      <c r="AE10">
        <f>ABS(AE7-AE8)</f>
        <v>1</v>
      </c>
      <c r="AF10">
        <f t="shared" ref="AF10" si="7">ABS(AF7-AF8)</f>
        <v>1</v>
      </c>
      <c r="AG10">
        <f t="shared" ref="AG10:AL10" si="8">ABS(AG7-AG8)</f>
        <v>1</v>
      </c>
      <c r="AH10">
        <f t="shared" si="8"/>
        <v>2</v>
      </c>
      <c r="AI10">
        <f t="shared" si="8"/>
        <v>2</v>
      </c>
      <c r="AJ10">
        <f t="shared" si="8"/>
        <v>1</v>
      </c>
      <c r="AK10">
        <f t="shared" si="8"/>
        <v>1</v>
      </c>
      <c r="AL10">
        <f t="shared" si="8"/>
        <v>9</v>
      </c>
      <c r="AN10">
        <f>MAX(AE10:AL10)</f>
        <v>9</v>
      </c>
      <c r="AP10" t="str">
        <f>AP7</f>
        <v>Male</v>
      </c>
      <c r="AQ10">
        <f t="shared" ref="AQ10:AX10" si="9">((D10-$AZ7)^2)*D7</f>
        <v>253.44651234567897</v>
      </c>
      <c r="AR10">
        <f t="shared" si="9"/>
        <v>50.96373456790122</v>
      </c>
      <c r="AS10">
        <f t="shared" si="9"/>
        <v>5.8558024691357975</v>
      </c>
      <c r="AT10">
        <f t="shared" si="9"/>
        <v>9.4957098765432164</v>
      </c>
      <c r="AU10">
        <f t="shared" si="9"/>
        <v>44.493888888888897</v>
      </c>
      <c r="AV10">
        <f t="shared" si="9"/>
        <v>99.244907407407425</v>
      </c>
      <c r="AW10">
        <f t="shared" si="9"/>
        <v>153.1292592592593</v>
      </c>
      <c r="AX10">
        <f t="shared" si="9"/>
        <v>125.43129629629634</v>
      </c>
      <c r="AZ10">
        <f>(SUM(AQ10:AX10))/(AN7-1)</f>
        <v>4.1455927995034143</v>
      </c>
      <c r="BA10" s="5">
        <f>AZ10^0.5</f>
        <v>2.0360728865891353</v>
      </c>
    </row>
    <row r="11" spans="1:54" x14ac:dyDescent="0.25">
      <c r="AP11" t="str">
        <f>AP8</f>
        <v>Female</v>
      </c>
      <c r="AQ11">
        <f t="shared" ref="AQ11:AX11" si="10">((D10-$AZ8)^2)*D8</f>
        <v>304.62198706643147</v>
      </c>
      <c r="AR11">
        <f t="shared" si="10"/>
        <v>71.666526692981719</v>
      </c>
      <c r="AS11">
        <f t="shared" si="10"/>
        <v>15.373365807228238</v>
      </c>
      <c r="AT11">
        <f t="shared" si="10"/>
        <v>2.6368802665098978</v>
      </c>
      <c r="AU11">
        <f t="shared" si="10"/>
        <v>30.742756361803988</v>
      </c>
      <c r="AV11">
        <f t="shared" si="10"/>
        <v>85.147000363931582</v>
      </c>
      <c r="AW11">
        <f t="shared" si="10"/>
        <v>131.22532963802806</v>
      </c>
      <c r="AX11">
        <f t="shared" si="10"/>
        <v>296.78721200414321</v>
      </c>
      <c r="AZ11">
        <f>(SUM(AQ11:AX11))/(AN8-1)</f>
        <v>4.9904311606439267</v>
      </c>
      <c r="BA11" s="5">
        <f>AZ11^0.5</f>
        <v>2.2339272952904996</v>
      </c>
    </row>
    <row r="12" spans="1:54" ht="17.25" customHeight="1" x14ac:dyDescent="0.25">
      <c r="A12" s="17"/>
      <c r="B12" s="17"/>
      <c r="C12" s="14" t="s">
        <v>19</v>
      </c>
      <c r="D12" s="14">
        <f>IF(AN7=AN8,AN10,AN16)</f>
        <v>5.1322751322751325E-2</v>
      </c>
      <c r="E12" s="16"/>
      <c r="G12" t="s">
        <v>60</v>
      </c>
      <c r="I12" t="s">
        <v>62</v>
      </c>
      <c r="J12" s="16"/>
      <c r="K12" t="s">
        <v>97</v>
      </c>
      <c r="AE12" s="4"/>
      <c r="AF12" s="4"/>
      <c r="AG12" s="4"/>
      <c r="AH12" s="4"/>
      <c r="AI12" s="4"/>
      <c r="AJ12" s="4"/>
      <c r="AK12" s="4"/>
      <c r="AL12" s="4"/>
    </row>
    <row r="13" spans="1:54" ht="15" customHeight="1" x14ac:dyDescent="0.25">
      <c r="A13" s="17"/>
      <c r="B13" s="17"/>
      <c r="G13" t="s">
        <v>59</v>
      </c>
      <c r="H13" s="1">
        <f>IF(MIN(AN7:AN8)&gt;39,AL19,"na")</f>
        <v>0.14163967996927609</v>
      </c>
      <c r="I13" s="22" t="str">
        <f>IF(MIN(AN7:AN8)&gt;39,AM19,"na")</f>
        <v>No</v>
      </c>
      <c r="J13" s="16"/>
      <c r="K13" s="16" t="s">
        <v>30</v>
      </c>
      <c r="L13" s="31">
        <f>IF(AK26&lt;1,AL26,1)</f>
        <v>1</v>
      </c>
      <c r="AD13" t="str">
        <f>B7</f>
        <v>Male</v>
      </c>
      <c r="AE13">
        <f t="shared" ref="AE13:AL14" si="11">AE7/$AN7</f>
        <v>0.2388888888888889</v>
      </c>
      <c r="AF13">
        <f t="shared" si="11"/>
        <v>0.37777777777777777</v>
      </c>
      <c r="AG13">
        <f t="shared" si="11"/>
        <v>0.55555555555555558</v>
      </c>
      <c r="AH13">
        <f t="shared" si="11"/>
        <v>0.71666666666666667</v>
      </c>
      <c r="AI13">
        <f t="shared" si="11"/>
        <v>0.81666666666666665</v>
      </c>
      <c r="AJ13">
        <f t="shared" si="11"/>
        <v>0.9</v>
      </c>
      <c r="AK13">
        <f t="shared" si="11"/>
        <v>0.96666666666666667</v>
      </c>
      <c r="AL13">
        <f t="shared" si="11"/>
        <v>1</v>
      </c>
      <c r="AW13" t="s">
        <v>12</v>
      </c>
      <c r="AX13">
        <f>BB7-BB8</f>
        <v>0.26534391534391544</v>
      </c>
    </row>
    <row r="14" spans="1:54" ht="18.75" x14ac:dyDescent="0.3">
      <c r="A14" s="8" t="s">
        <v>20</v>
      </c>
      <c r="B14" s="8"/>
      <c r="C14" s="8" t="s">
        <v>21</v>
      </c>
      <c r="D14" s="21" t="str">
        <f>IF(AN7=AN8,D12/((AN7+AN8)/2),"Use Dmax")</f>
        <v>Use Dmax</v>
      </c>
      <c r="G14" t="s">
        <v>61</v>
      </c>
      <c r="H14" s="1">
        <f>IF(MIN(AN7:AN8)&gt;39,AL20,"na")</f>
        <v>0.16975932231611762</v>
      </c>
      <c r="I14" s="22" t="str">
        <f>IF(MIN(AN7:AN8)&gt;39,AM20,"na")</f>
        <v>No</v>
      </c>
      <c r="J14" s="16"/>
      <c r="K14" t="s">
        <v>34</v>
      </c>
      <c r="L14" s="1">
        <f>AL24</f>
        <v>0.61527344994915989</v>
      </c>
      <c r="AD14" t="str">
        <f>B8</f>
        <v>Female</v>
      </c>
      <c r="AE14">
        <f t="shared" si="11"/>
        <v>0.22222222222222221</v>
      </c>
      <c r="AF14">
        <f t="shared" si="11"/>
        <v>0.35449735449735448</v>
      </c>
      <c r="AG14">
        <f t="shared" si="11"/>
        <v>0.52380952380952384</v>
      </c>
      <c r="AH14">
        <f t="shared" si="11"/>
        <v>0.67195767195767198</v>
      </c>
      <c r="AI14">
        <f t="shared" si="11"/>
        <v>0.76719576719576721</v>
      </c>
      <c r="AJ14">
        <f t="shared" si="11"/>
        <v>0.85185185185185186</v>
      </c>
      <c r="AK14">
        <f t="shared" si="11"/>
        <v>0.91534391534391535</v>
      </c>
      <c r="AL14">
        <f t="shared" si="11"/>
        <v>1</v>
      </c>
      <c r="AW14" t="s">
        <v>13</v>
      </c>
      <c r="AX14">
        <f>((AZ10/AN7)+(AZ11/AN8))^0.5</f>
        <v>0.2223408841929819</v>
      </c>
    </row>
    <row r="15" spans="1:54" ht="18.75" x14ac:dyDescent="0.3">
      <c r="A15" s="8"/>
      <c r="B15" s="8"/>
      <c r="C15" s="8"/>
      <c r="D15" s="8"/>
      <c r="G15" t="s">
        <v>73</v>
      </c>
      <c r="H15" s="1">
        <f>IF(MIN(AN7:AN8)&gt;39,AL21,"na")</f>
        <v>0.20308630583830026</v>
      </c>
      <c r="I15" s="22" t="str">
        <f>IF(MIN(AN7:AN8)&gt;39,AM21,"na")</f>
        <v>No</v>
      </c>
      <c r="AN15" t="s">
        <v>18</v>
      </c>
      <c r="AW15" t="s">
        <v>14</v>
      </c>
      <c r="AX15" s="15">
        <f>AX13/AX14</f>
        <v>1.1934103631323552</v>
      </c>
    </row>
    <row r="16" spans="1:54" x14ac:dyDescent="0.25">
      <c r="A16" s="37" t="str">
        <f>IF(MIN(AN7:AN8)&lt;50,"Your samples may be a bit too small to trust the results of a t-test","Your samples are large so you may choose to use parametric tests like the t-test and F ratio")</f>
        <v>Your samples are large so you may choose to use parametric tests like the t-test and F ratio</v>
      </c>
      <c r="B16" s="37"/>
      <c r="C16" s="37"/>
      <c r="D16" s="37"/>
      <c r="AD16" t="s">
        <v>17</v>
      </c>
      <c r="AE16">
        <f>ABS(AE13-AE14)</f>
        <v>1.6666666666666691E-2</v>
      </c>
      <c r="AF16">
        <f t="shared" ref="AF16:AL16" si="12">ABS(AF13-AF14)</f>
        <v>2.328042328042329E-2</v>
      </c>
      <c r="AG16">
        <f t="shared" si="12"/>
        <v>3.1746031746031744E-2</v>
      </c>
      <c r="AH16">
        <f t="shared" si="12"/>
        <v>4.4708994708994698E-2</v>
      </c>
      <c r="AI16">
        <f t="shared" si="12"/>
        <v>4.9470899470899443E-2</v>
      </c>
      <c r="AJ16">
        <f t="shared" si="12"/>
        <v>4.8148148148148162E-2</v>
      </c>
      <c r="AK16">
        <f t="shared" si="12"/>
        <v>5.1322751322751325E-2</v>
      </c>
      <c r="AL16">
        <f t="shared" si="12"/>
        <v>0</v>
      </c>
      <c r="AN16">
        <f>MAX(AE16:AL16)</f>
        <v>5.1322751322751325E-2</v>
      </c>
      <c r="AW16" t="s">
        <v>0</v>
      </c>
      <c r="AX16">
        <f>AN7+AN8-2</f>
        <v>367</v>
      </c>
    </row>
    <row r="17" spans="1:49" x14ac:dyDescent="0.25">
      <c r="A17" s="37"/>
      <c r="B17" s="37"/>
      <c r="C17" s="37"/>
      <c r="D17" s="37"/>
      <c r="AU17" t="s">
        <v>30</v>
      </c>
      <c r="AV17">
        <f>_xlfn.T.DIST.2T(AX15,AX16)</f>
        <v>0.23347958674390698</v>
      </c>
      <c r="AW17">
        <f>IF(AV17&gt;0.001,AV17,"p&lt;0.001")</f>
        <v>0.23347958674390698</v>
      </c>
    </row>
    <row r="18" spans="1:49" x14ac:dyDescent="0.25">
      <c r="A18" s="37"/>
      <c r="B18" s="37"/>
      <c r="C18" s="37"/>
      <c r="D18" s="37"/>
      <c r="AJ18" t="s">
        <v>25</v>
      </c>
      <c r="AL18">
        <f>((AN7+AN8)/(AN7*AN8))^0.5</f>
        <v>0.10414682350682064</v>
      </c>
      <c r="AU18" t="s">
        <v>34</v>
      </c>
      <c r="AV18">
        <f>AV17/2</f>
        <v>0.11673979337195349</v>
      </c>
      <c r="AW18">
        <f>IF(AV18&gt;0.001,AV18,"p&lt;0.001")</f>
        <v>0.11673979337195349</v>
      </c>
    </row>
    <row r="19" spans="1:49" x14ac:dyDescent="0.25">
      <c r="AJ19">
        <v>0.05</v>
      </c>
      <c r="AK19">
        <v>1.36</v>
      </c>
      <c r="AL19">
        <f>AK19*AL18</f>
        <v>0.14163967996927609</v>
      </c>
      <c r="AM19" t="str">
        <f>IF(AN16&gt;AL19,"Yes","No")</f>
        <v>No</v>
      </c>
      <c r="AU19" t="s">
        <v>35</v>
      </c>
      <c r="AV19">
        <f>_xlfn.NORM.S.INV(AV18)</f>
        <v>-1.1914433415535273</v>
      </c>
    </row>
    <row r="20" spans="1:49" ht="18.75" x14ac:dyDescent="0.3">
      <c r="A20" s="10" t="s">
        <v>22</v>
      </c>
      <c r="B20" s="10"/>
      <c r="C20" s="8" t="s">
        <v>26</v>
      </c>
      <c r="D20" s="21">
        <f>IF(MIN(AN7:AN8)&gt;24,AX15,"na")</f>
        <v>1.1934103631323552</v>
      </c>
      <c r="AJ20">
        <v>0.01</v>
      </c>
      <c r="AK20">
        <v>1.63</v>
      </c>
      <c r="AL20">
        <f>AK20*AL18</f>
        <v>0.16975932231611762</v>
      </c>
      <c r="AM20" t="str">
        <f>IF(AN16&gt;AL20,"Yes","No")</f>
        <v>No</v>
      </c>
      <c r="AU20" t="s">
        <v>36</v>
      </c>
      <c r="AV20">
        <f>AV19/((AN7+AN8)^0.5)</f>
        <v>-6.2024062909181908E-2</v>
      </c>
    </row>
    <row r="21" spans="1:49" ht="18.75" x14ac:dyDescent="0.3">
      <c r="A21" s="10"/>
      <c r="B21" s="10" t="s">
        <v>23</v>
      </c>
      <c r="C21" s="8" t="s">
        <v>25</v>
      </c>
      <c r="D21" s="21">
        <f>IF(MIN(AN7:AN8)&gt;24,AW17,"na")</f>
        <v>0.23347958674390698</v>
      </c>
      <c r="AJ21">
        <v>1E-3</v>
      </c>
      <c r="AK21">
        <v>1.95</v>
      </c>
      <c r="AL21">
        <f>AK21*AL18</f>
        <v>0.20308630583830026</v>
      </c>
      <c r="AM21" t="str">
        <f>IF(AN16&gt;AL21,"Yes","No")</f>
        <v>No</v>
      </c>
      <c r="AU21" t="s">
        <v>38</v>
      </c>
      <c r="AV21">
        <f>(MAX(AZ10:AZ11))/(MIN(AZ10:AZ11))</f>
        <v>1.2037919308528595</v>
      </c>
    </row>
    <row r="22" spans="1:49" ht="18.75" x14ac:dyDescent="0.3">
      <c r="A22" s="10"/>
      <c r="B22" s="10" t="s">
        <v>24</v>
      </c>
      <c r="C22" s="8" t="s">
        <v>25</v>
      </c>
      <c r="D22" s="21">
        <f>IF(MIN(AN7:AN8)&gt;24,AW18,"na")</f>
        <v>0.11673979337195349</v>
      </c>
      <c r="AV22" t="s">
        <v>42</v>
      </c>
      <c r="AW22" t="s">
        <v>43</v>
      </c>
    </row>
    <row r="23" spans="1:49" x14ac:dyDescent="0.25">
      <c r="AJ23" t="s">
        <v>31</v>
      </c>
      <c r="AK23">
        <f>(4*(AN16^2))</f>
        <v>1.0536099213347892E-2</v>
      </c>
      <c r="AL23">
        <f>(AN7*AN8)/(AN7+AN8)</f>
        <v>92.195121951219505</v>
      </c>
      <c r="AM23">
        <f>AK23*AL23</f>
        <v>0.97137695186475681</v>
      </c>
      <c r="AU23" t="s">
        <v>40</v>
      </c>
      <c r="AV23">
        <f>_xlfn.F.INV.RT(0.025,MAX(AN7:AN8)-1,MIN(AN7:AN8)-1)</f>
        <v>1.3376136043996989</v>
      </c>
      <c r="AW23">
        <f>_xlfn.F.INV.RT(0.05,MAX(AN7:AN8)-1,MIN(AN7:AN8)-1)</f>
        <v>1.2763141575907189</v>
      </c>
    </row>
    <row r="24" spans="1:49" ht="15.75" x14ac:dyDescent="0.25">
      <c r="B24" s="7" t="s">
        <v>27</v>
      </c>
      <c r="C24" s="7" t="s">
        <v>28</v>
      </c>
      <c r="AJ24" t="s">
        <v>32</v>
      </c>
      <c r="AK24">
        <f>_xlfn.CHISQ.DIST.RT(AM23,2)</f>
        <v>0.61527344994915989</v>
      </c>
      <c r="AL24">
        <f>IF(AK24&gt;0.001,AK24,"p&lt; 0.001")</f>
        <v>0.61527344994915989</v>
      </c>
      <c r="AU24" t="s">
        <v>41</v>
      </c>
      <c r="AV24">
        <f>_xlfn.F.INV.RT(0.005,MAX(AN7:AN8)-1,MIN(AN7:AN8)-1)</f>
        <v>1.4664765793644161</v>
      </c>
      <c r="AW24">
        <f>_xlfn.F.INV.RT(0.01,MAX(AN7:AN8)-1,MIN(AN7:AN8)-1)</f>
        <v>1.4127717501649291</v>
      </c>
    </row>
    <row r="25" spans="1:49" ht="15.75" x14ac:dyDescent="0.25">
      <c r="A25" s="7" t="str">
        <f>B7</f>
        <v>Male</v>
      </c>
      <c r="B25" s="1">
        <f>AZ7</f>
        <v>3.4277777777777776</v>
      </c>
      <c r="C25" s="5">
        <f>BA10</f>
        <v>2.0360728865891353</v>
      </c>
    </row>
    <row r="26" spans="1:49" ht="15.75" x14ac:dyDescent="0.25">
      <c r="A26" s="7" t="str">
        <f>B8</f>
        <v>Female</v>
      </c>
      <c r="B26" s="1">
        <f>AZ8</f>
        <v>3.693121693121693</v>
      </c>
      <c r="C26" s="5">
        <f>BA11</f>
        <v>2.2339272952904996</v>
      </c>
      <c r="AJ26" t="s">
        <v>33</v>
      </c>
      <c r="AK26">
        <f>AK24*2</f>
        <v>1.2305468998983198</v>
      </c>
      <c r="AL26">
        <f t="shared" ref="AL26" si="13">IF(AK26&gt;0.001,AK26,"p&lt; 0.001")</f>
        <v>1.2305468998983198</v>
      </c>
    </row>
    <row r="28" spans="1:49" x14ac:dyDescent="0.25">
      <c r="A28" t="s">
        <v>37</v>
      </c>
      <c r="C28" s="1">
        <f>ABS(AV20)</f>
        <v>6.2024062909181908E-2</v>
      </c>
    </row>
    <row r="30" spans="1:49" x14ac:dyDescent="0.25">
      <c r="D30" t="s">
        <v>30</v>
      </c>
      <c r="E30" t="s">
        <v>34</v>
      </c>
    </row>
    <row r="31" spans="1:49" x14ac:dyDescent="0.25">
      <c r="A31" t="s">
        <v>39</v>
      </c>
      <c r="C31" s="1">
        <f>AV21</f>
        <v>1.2037919308528595</v>
      </c>
      <c r="D31" t="str">
        <f>IF(C31&lt;AV23,"p &gt; 0.05","p&lt;0.05")</f>
        <v>p &gt; 0.05</v>
      </c>
      <c r="E31" t="str">
        <f>IF(C31&lt;AW23,"p &gt; 0.05","p&lt;0.05")</f>
        <v>p &gt; 0.05</v>
      </c>
    </row>
    <row r="32" spans="1:49" x14ac:dyDescent="0.25">
      <c r="D32" t="str">
        <f>IF(C31&lt;AV24,"p &gt; 0.01","p&lt;0.01")</f>
        <v>p &gt; 0.01</v>
      </c>
      <c r="E32" t="str">
        <f>IF(C31&lt;AW24,"p &gt; 0.01","p&lt;0.01")</f>
        <v>p &gt; 0.01</v>
      </c>
    </row>
  </sheetData>
  <mergeCells count="3">
    <mergeCell ref="B7:C7"/>
    <mergeCell ref="B8:C8"/>
    <mergeCell ref="A16:D1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32"/>
  <sheetViews>
    <sheetView workbookViewId="0">
      <selection activeCell="L2" sqref="L2"/>
    </sheetView>
  </sheetViews>
  <sheetFormatPr defaultRowHeight="15" x14ac:dyDescent="0.25"/>
  <cols>
    <col min="3" max="3" width="8.5703125" customWidth="1"/>
    <col min="4" max="5" width="8.7109375" customWidth="1"/>
    <col min="6" max="6" width="8.85546875" customWidth="1"/>
    <col min="7" max="7" width="8.7109375" customWidth="1"/>
    <col min="8" max="8" width="8.5703125" customWidth="1"/>
    <col min="9" max="9" width="8.7109375" customWidth="1"/>
    <col min="25" max="25" width="12" bestFit="1" customWidth="1"/>
  </cols>
  <sheetData>
    <row r="2" spans="1:55" ht="15" customHeight="1" x14ac:dyDescent="0.25">
      <c r="B2" s="32"/>
      <c r="C2" s="16"/>
      <c r="D2" s="16"/>
      <c r="E2" s="16"/>
      <c r="F2" s="16"/>
      <c r="G2" s="16"/>
      <c r="H2" s="16"/>
      <c r="I2" s="16"/>
    </row>
    <row r="3" spans="1:55" x14ac:dyDescent="0.25">
      <c r="B3" s="16"/>
      <c r="C3" s="16"/>
      <c r="D3" s="16"/>
      <c r="E3" s="16"/>
      <c r="F3" s="16"/>
      <c r="G3" s="16"/>
      <c r="H3" s="16"/>
      <c r="I3" s="16"/>
    </row>
    <row r="4" spans="1:55" x14ac:dyDescent="0.25">
      <c r="AC4" t="s">
        <v>29</v>
      </c>
    </row>
    <row r="5" spans="1:55" ht="15.75" customHeight="1" thickBot="1" x14ac:dyDescent="0.3">
      <c r="Q5" t="s">
        <v>78</v>
      </c>
    </row>
    <row r="6" spans="1:55" ht="19.5" thickBot="1" x14ac:dyDescent="0.3">
      <c r="C6" s="11"/>
      <c r="D6" s="2" t="s">
        <v>45</v>
      </c>
      <c r="E6" s="2" t="s">
        <v>51</v>
      </c>
      <c r="F6" s="2" t="s">
        <v>52</v>
      </c>
      <c r="G6" s="2" t="s">
        <v>46</v>
      </c>
      <c r="H6" s="2" t="s">
        <v>53</v>
      </c>
      <c r="I6" s="2" t="s">
        <v>63</v>
      </c>
      <c r="J6" s="2" t="s">
        <v>64</v>
      </c>
      <c r="K6" s="2" t="s">
        <v>65</v>
      </c>
      <c r="L6" s="2" t="s">
        <v>66</v>
      </c>
      <c r="N6" s="9" t="s">
        <v>7</v>
      </c>
      <c r="O6" s="9"/>
      <c r="P6" s="9"/>
      <c r="Q6" t="str">
        <f>D6</f>
        <v>A</v>
      </c>
      <c r="R6" t="str">
        <f t="shared" ref="R6:Y6" si="0">E6</f>
        <v>B</v>
      </c>
      <c r="S6" t="str">
        <f t="shared" si="0"/>
        <v>C</v>
      </c>
      <c r="T6" t="str">
        <f t="shared" si="0"/>
        <v>D</v>
      </c>
      <c r="U6" t="str">
        <f t="shared" si="0"/>
        <v>E</v>
      </c>
      <c r="V6" t="str">
        <f t="shared" si="0"/>
        <v>F</v>
      </c>
      <c r="W6" t="str">
        <f t="shared" si="0"/>
        <v>G</v>
      </c>
      <c r="X6" t="str">
        <f t="shared" si="0"/>
        <v>H</v>
      </c>
      <c r="Y6" t="str">
        <f t="shared" si="0"/>
        <v>I</v>
      </c>
      <c r="AB6" s="13"/>
      <c r="AD6" s="4" t="str">
        <f t="shared" ref="AD6:AL6" si="1">D6</f>
        <v>A</v>
      </c>
      <c r="AE6" s="4" t="str">
        <f t="shared" si="1"/>
        <v>B</v>
      </c>
      <c r="AF6" s="4" t="str">
        <f t="shared" si="1"/>
        <v>C</v>
      </c>
      <c r="AG6" s="4" t="str">
        <f t="shared" si="1"/>
        <v>D</v>
      </c>
      <c r="AH6" s="4" t="str">
        <f t="shared" si="1"/>
        <v>E</v>
      </c>
      <c r="AI6" s="4" t="str">
        <f t="shared" si="1"/>
        <v>F</v>
      </c>
      <c r="AJ6" s="4" t="str">
        <f t="shared" si="1"/>
        <v>G</v>
      </c>
      <c r="AK6" s="4" t="str">
        <f t="shared" si="1"/>
        <v>H</v>
      </c>
      <c r="AL6" s="4" t="str">
        <f t="shared" si="1"/>
        <v>I</v>
      </c>
      <c r="AM6" s="4"/>
      <c r="AN6" s="2" t="s">
        <v>7</v>
      </c>
      <c r="AO6" s="4"/>
      <c r="AQ6" s="4" t="str">
        <f t="shared" ref="AQ6:AY6" si="2">D6</f>
        <v>A</v>
      </c>
      <c r="AR6" s="4" t="str">
        <f t="shared" si="2"/>
        <v>B</v>
      </c>
      <c r="AS6" s="4" t="str">
        <f t="shared" si="2"/>
        <v>C</v>
      </c>
      <c r="AT6" s="4" t="str">
        <f t="shared" si="2"/>
        <v>D</v>
      </c>
      <c r="AU6" s="4" t="str">
        <f t="shared" si="2"/>
        <v>E</v>
      </c>
      <c r="AV6" s="4" t="str">
        <f t="shared" si="2"/>
        <v>F</v>
      </c>
      <c r="AW6" s="4" t="str">
        <f t="shared" si="2"/>
        <v>G</v>
      </c>
      <c r="AX6" s="4" t="str">
        <f t="shared" si="2"/>
        <v>H</v>
      </c>
      <c r="AY6" s="4" t="str">
        <f t="shared" si="2"/>
        <v>I</v>
      </c>
      <c r="BA6" t="s">
        <v>9</v>
      </c>
    </row>
    <row r="7" spans="1:55" ht="19.5" thickBot="1" x14ac:dyDescent="0.3">
      <c r="B7" s="40" t="s">
        <v>49</v>
      </c>
      <c r="C7" s="41"/>
      <c r="D7" s="12">
        <v>2</v>
      </c>
      <c r="E7" s="12">
        <v>6</v>
      </c>
      <c r="F7" s="12">
        <v>4</v>
      </c>
      <c r="G7" s="12">
        <v>4</v>
      </c>
      <c r="H7" s="12">
        <v>0</v>
      </c>
      <c r="I7" s="12">
        <v>0</v>
      </c>
      <c r="J7" s="12">
        <v>1</v>
      </c>
      <c r="K7" s="12">
        <v>1</v>
      </c>
      <c r="L7" s="12">
        <v>0</v>
      </c>
      <c r="N7">
        <f>SUM(D7:L7)</f>
        <v>18</v>
      </c>
      <c r="P7" t="str">
        <f>B7</f>
        <v>Male</v>
      </c>
      <c r="Q7" s="5">
        <f t="shared" ref="Q7:X8" si="3">(D7/$N7)*100</f>
        <v>11.111111111111111</v>
      </c>
      <c r="R7" s="5">
        <f t="shared" si="3"/>
        <v>33.333333333333329</v>
      </c>
      <c r="S7" s="5">
        <f t="shared" si="3"/>
        <v>22.222222222222221</v>
      </c>
      <c r="T7" s="5">
        <f t="shared" si="3"/>
        <v>22.222222222222221</v>
      </c>
      <c r="U7" s="5">
        <f t="shared" si="3"/>
        <v>0</v>
      </c>
      <c r="V7" s="5">
        <f t="shared" si="3"/>
        <v>0</v>
      </c>
      <c r="W7" s="5">
        <f t="shared" si="3"/>
        <v>5.5555555555555554</v>
      </c>
      <c r="X7" s="5">
        <f t="shared" si="3"/>
        <v>5.5555555555555554</v>
      </c>
      <c r="Y7" s="5">
        <f>(L7/$N7)*100</f>
        <v>0</v>
      </c>
      <c r="AB7" s="13"/>
      <c r="AC7" t="str">
        <f>B7</f>
        <v>Male</v>
      </c>
      <c r="AD7">
        <f>D7</f>
        <v>2</v>
      </c>
      <c r="AE7">
        <f t="shared" ref="AE7:AL8" si="4">E7+AD7</f>
        <v>8</v>
      </c>
      <c r="AF7">
        <f t="shared" si="4"/>
        <v>12</v>
      </c>
      <c r="AG7">
        <f t="shared" si="4"/>
        <v>16</v>
      </c>
      <c r="AH7">
        <f t="shared" si="4"/>
        <v>16</v>
      </c>
      <c r="AI7">
        <f t="shared" si="4"/>
        <v>16</v>
      </c>
      <c r="AJ7">
        <f t="shared" si="4"/>
        <v>17</v>
      </c>
      <c r="AK7">
        <f t="shared" si="4"/>
        <v>18</v>
      </c>
      <c r="AL7">
        <f t="shared" si="4"/>
        <v>18</v>
      </c>
      <c r="AN7" s="3">
        <f>SUM(D7:L7)</f>
        <v>18</v>
      </c>
      <c r="AP7" t="str">
        <f>B7</f>
        <v>Male</v>
      </c>
      <c r="AQ7">
        <f t="shared" ref="AQ7:AY7" si="5">D7*D10</f>
        <v>18</v>
      </c>
      <c r="AR7">
        <f t="shared" si="5"/>
        <v>48</v>
      </c>
      <c r="AS7">
        <f t="shared" si="5"/>
        <v>28</v>
      </c>
      <c r="AT7">
        <f t="shared" si="5"/>
        <v>24</v>
      </c>
      <c r="AU7">
        <f t="shared" si="5"/>
        <v>0</v>
      </c>
      <c r="AV7">
        <f t="shared" si="5"/>
        <v>0</v>
      </c>
      <c r="AW7">
        <f t="shared" si="5"/>
        <v>3</v>
      </c>
      <c r="AX7">
        <f t="shared" si="5"/>
        <v>2</v>
      </c>
      <c r="AY7">
        <f t="shared" si="5"/>
        <v>0</v>
      </c>
      <c r="BA7">
        <f>SUM(AQ7:AY7)/AN7</f>
        <v>6.833333333333333</v>
      </c>
      <c r="BB7" t="s">
        <v>15</v>
      </c>
      <c r="BC7">
        <f>MAX(BA7:BA8)</f>
        <v>6.833333333333333</v>
      </c>
    </row>
    <row r="8" spans="1:55" ht="19.5" thickBot="1" x14ac:dyDescent="0.3">
      <c r="B8" s="40" t="s">
        <v>50</v>
      </c>
      <c r="C8" s="41"/>
      <c r="D8" s="12">
        <v>2</v>
      </c>
      <c r="E8" s="12">
        <v>6</v>
      </c>
      <c r="F8" s="12">
        <v>6</v>
      </c>
      <c r="G8" s="12">
        <v>1</v>
      </c>
      <c r="H8" s="12">
        <v>0</v>
      </c>
      <c r="I8" s="12">
        <v>0</v>
      </c>
      <c r="J8" s="12">
        <v>2</v>
      </c>
      <c r="K8" s="12">
        <v>3</v>
      </c>
      <c r="L8" s="12">
        <v>1</v>
      </c>
      <c r="N8">
        <f>SUM(D8:L8)</f>
        <v>21</v>
      </c>
      <c r="P8" t="str">
        <f>B8</f>
        <v>Female</v>
      </c>
      <c r="Q8" s="5">
        <f t="shared" si="3"/>
        <v>9.5238095238095237</v>
      </c>
      <c r="R8" s="5">
        <f t="shared" si="3"/>
        <v>28.571428571428569</v>
      </c>
      <c r="S8" s="5">
        <f t="shared" si="3"/>
        <v>28.571428571428569</v>
      </c>
      <c r="T8" s="5">
        <f t="shared" si="3"/>
        <v>4.7619047619047619</v>
      </c>
      <c r="U8" s="5">
        <f t="shared" si="3"/>
        <v>0</v>
      </c>
      <c r="V8" s="5">
        <f t="shared" si="3"/>
        <v>0</v>
      </c>
      <c r="W8" s="5">
        <f t="shared" si="3"/>
        <v>9.5238095238095237</v>
      </c>
      <c r="X8" s="5">
        <f t="shared" si="3"/>
        <v>14.285714285714285</v>
      </c>
      <c r="Y8" s="5">
        <f>(L8/$N8)*100</f>
        <v>4.7619047619047619</v>
      </c>
      <c r="AB8" s="13"/>
      <c r="AC8" t="str">
        <f>B8</f>
        <v>Female</v>
      </c>
      <c r="AD8">
        <f>D8</f>
        <v>2</v>
      </c>
      <c r="AE8">
        <f t="shared" si="4"/>
        <v>8</v>
      </c>
      <c r="AF8">
        <f t="shared" si="4"/>
        <v>14</v>
      </c>
      <c r="AG8">
        <f t="shared" si="4"/>
        <v>15</v>
      </c>
      <c r="AH8">
        <f t="shared" si="4"/>
        <v>15</v>
      </c>
      <c r="AI8">
        <f t="shared" si="4"/>
        <v>15</v>
      </c>
      <c r="AJ8">
        <f t="shared" si="4"/>
        <v>17</v>
      </c>
      <c r="AK8">
        <f t="shared" si="4"/>
        <v>20</v>
      </c>
      <c r="AL8">
        <f t="shared" si="4"/>
        <v>21</v>
      </c>
      <c r="AN8" s="3">
        <f>SUM(D8:L8)</f>
        <v>21</v>
      </c>
      <c r="AP8" t="str">
        <f>B8</f>
        <v>Female</v>
      </c>
      <c r="AQ8">
        <f t="shared" ref="AQ8:AY8" si="6">D8*D10</f>
        <v>18</v>
      </c>
      <c r="AR8">
        <f t="shared" si="6"/>
        <v>48</v>
      </c>
      <c r="AS8">
        <f t="shared" si="6"/>
        <v>42</v>
      </c>
      <c r="AT8">
        <f t="shared" si="6"/>
        <v>6</v>
      </c>
      <c r="AU8">
        <f t="shared" si="6"/>
        <v>0</v>
      </c>
      <c r="AV8">
        <f t="shared" si="6"/>
        <v>0</v>
      </c>
      <c r="AW8">
        <f t="shared" si="6"/>
        <v>6</v>
      </c>
      <c r="AX8">
        <f t="shared" si="6"/>
        <v>6</v>
      </c>
      <c r="AY8">
        <f t="shared" si="6"/>
        <v>1</v>
      </c>
      <c r="BA8">
        <f>SUM(AQ8:AY8)/AN8</f>
        <v>6.0476190476190474</v>
      </c>
      <c r="BB8" t="s">
        <v>16</v>
      </c>
      <c r="BC8">
        <f>MIN(BA7:BA8)</f>
        <v>6.0476190476190474</v>
      </c>
    </row>
    <row r="9" spans="1:55" x14ac:dyDescent="0.25">
      <c r="AN9" t="s">
        <v>18</v>
      </c>
      <c r="BA9" t="s">
        <v>10</v>
      </c>
      <c r="BB9" t="s">
        <v>11</v>
      </c>
    </row>
    <row r="10" spans="1:55" ht="18.75" x14ac:dyDescent="0.3">
      <c r="B10" s="8" t="s">
        <v>8</v>
      </c>
      <c r="D10" s="6">
        <v>9</v>
      </c>
      <c r="E10" s="6">
        <v>8</v>
      </c>
      <c r="F10" s="6">
        <v>7</v>
      </c>
      <c r="G10" s="6">
        <v>6</v>
      </c>
      <c r="H10" s="6">
        <v>5</v>
      </c>
      <c r="I10" s="6">
        <v>4</v>
      </c>
      <c r="J10" s="6">
        <v>3</v>
      </c>
      <c r="K10" s="6">
        <v>2</v>
      </c>
      <c r="L10" s="6">
        <v>1</v>
      </c>
      <c r="AC10" t="s">
        <v>17</v>
      </c>
      <c r="AD10">
        <f>ABS(AD7-AD8)</f>
        <v>0</v>
      </c>
      <c r="AE10">
        <f t="shared" ref="AE10:AI10" si="7">ABS(AE7-AE8)</f>
        <v>0</v>
      </c>
      <c r="AF10">
        <f t="shared" si="7"/>
        <v>2</v>
      </c>
      <c r="AG10">
        <f t="shared" si="7"/>
        <v>1</v>
      </c>
      <c r="AH10">
        <f t="shared" si="7"/>
        <v>1</v>
      </c>
      <c r="AI10">
        <f t="shared" si="7"/>
        <v>1</v>
      </c>
      <c r="AJ10">
        <f t="shared" ref="AJ10:AL10" si="8">ABS(AJ7-AJ8)</f>
        <v>0</v>
      </c>
      <c r="AK10">
        <f t="shared" si="8"/>
        <v>2</v>
      </c>
      <c r="AL10">
        <f t="shared" si="8"/>
        <v>3</v>
      </c>
      <c r="AN10">
        <f>MAX(AD10:AL10)</f>
        <v>3</v>
      </c>
      <c r="AP10" t="str">
        <f>AP7</f>
        <v>Male</v>
      </c>
      <c r="AQ10">
        <f t="shared" ref="AQ10:AY10" si="9">((D10-$BA7)^2)*D7</f>
        <v>9.3888888888888911</v>
      </c>
      <c r="AR10">
        <f t="shared" si="9"/>
        <v>8.1666666666666714</v>
      </c>
      <c r="AS10">
        <f t="shared" si="9"/>
        <v>0.11111111111111151</v>
      </c>
      <c r="AT10">
        <f t="shared" si="9"/>
        <v>2.7777777777777759</v>
      </c>
      <c r="AU10">
        <f t="shared" si="9"/>
        <v>0</v>
      </c>
      <c r="AV10">
        <f t="shared" si="9"/>
        <v>0</v>
      </c>
      <c r="AW10">
        <f t="shared" si="9"/>
        <v>14.694444444444443</v>
      </c>
      <c r="AX10">
        <f t="shared" si="9"/>
        <v>23.361111111111107</v>
      </c>
      <c r="AY10">
        <f t="shared" si="9"/>
        <v>0</v>
      </c>
      <c r="BA10">
        <f>(SUM(AQ10:AY10))/(AN7-1)</f>
        <v>3.4411764705882355</v>
      </c>
      <c r="BB10" s="5">
        <f>BA10^0.5</f>
        <v>1.8550408272025269</v>
      </c>
    </row>
    <row r="11" spans="1:55" x14ac:dyDescent="0.25">
      <c r="AP11" t="str">
        <f>AP8</f>
        <v>Female</v>
      </c>
      <c r="AQ11">
        <f t="shared" ref="AQ11:AY11" si="10">((D10-$BA8)^2)*D8</f>
        <v>17.43310657596372</v>
      </c>
      <c r="AR11">
        <f t="shared" si="10"/>
        <v>22.870748299319732</v>
      </c>
      <c r="AS11">
        <f t="shared" si="10"/>
        <v>5.4421768707483009</v>
      </c>
      <c r="AT11">
        <f t="shared" si="10"/>
        <v>2.2675736961451087E-3</v>
      </c>
      <c r="AU11">
        <f t="shared" si="10"/>
        <v>0</v>
      </c>
      <c r="AV11">
        <f t="shared" si="10"/>
        <v>0</v>
      </c>
      <c r="AW11">
        <f t="shared" si="10"/>
        <v>18.575963718820859</v>
      </c>
      <c r="AX11">
        <f t="shared" si="10"/>
        <v>49.149659863945573</v>
      </c>
      <c r="AY11">
        <f t="shared" si="10"/>
        <v>25.478458049886619</v>
      </c>
      <c r="BA11">
        <f>(SUM(AQ11:AY11))/(AN8-1)</f>
        <v>6.9476190476190469</v>
      </c>
      <c r="BB11" s="5">
        <f>BA11^0.5</f>
        <v>2.635833653252619</v>
      </c>
    </row>
    <row r="12" spans="1:55" ht="17.25" customHeight="1" x14ac:dyDescent="0.25">
      <c r="A12" s="17"/>
      <c r="B12" s="17"/>
      <c r="C12" s="14" t="s">
        <v>19</v>
      </c>
      <c r="D12" s="14">
        <f>IF(AN7=AN8,AN10,AN16)</f>
        <v>0.17460317460317454</v>
      </c>
      <c r="E12" s="16"/>
      <c r="G12" t="s">
        <v>60</v>
      </c>
      <c r="I12" t="s">
        <v>62</v>
      </c>
      <c r="J12" s="16"/>
      <c r="K12" s="16"/>
      <c r="L12" t="s">
        <v>97</v>
      </c>
      <c r="AD12" s="4"/>
      <c r="AE12" s="4"/>
      <c r="AF12" s="4"/>
      <c r="AG12" s="4"/>
      <c r="AH12" s="4"/>
      <c r="AI12" s="4"/>
      <c r="AJ12" s="4"/>
      <c r="AK12" s="4"/>
      <c r="AL12" s="4"/>
    </row>
    <row r="13" spans="1:55" ht="15" customHeight="1" x14ac:dyDescent="0.25">
      <c r="A13" s="17"/>
      <c r="B13" s="17"/>
      <c r="G13" t="s">
        <v>59</v>
      </c>
      <c r="H13" s="1" t="str">
        <f>IF(MIN(AN7:AN8)&gt;39,AK19,"na")</f>
        <v>na</v>
      </c>
      <c r="I13" s="22" t="str">
        <f>IF(MIN(AN7:AN8)&gt;39,AL19,"na")</f>
        <v>na</v>
      </c>
      <c r="J13" s="16"/>
      <c r="K13" s="16"/>
      <c r="L13" s="16" t="s">
        <v>30</v>
      </c>
      <c r="M13" s="31">
        <f>IF(AJ26&lt;1,AK26,1)</f>
        <v>1</v>
      </c>
      <c r="AC13" t="str">
        <f>B7</f>
        <v>Male</v>
      </c>
      <c r="AD13">
        <f t="shared" ref="AD13:AL13" si="11">AD7/$AN7</f>
        <v>0.1111111111111111</v>
      </c>
      <c r="AE13">
        <f t="shared" si="11"/>
        <v>0.44444444444444442</v>
      </c>
      <c r="AF13">
        <f t="shared" si="11"/>
        <v>0.66666666666666663</v>
      </c>
      <c r="AG13">
        <f t="shared" si="11"/>
        <v>0.88888888888888884</v>
      </c>
      <c r="AH13">
        <f t="shared" si="11"/>
        <v>0.88888888888888884</v>
      </c>
      <c r="AI13">
        <f t="shared" si="11"/>
        <v>0.88888888888888884</v>
      </c>
      <c r="AJ13">
        <f t="shared" si="11"/>
        <v>0.94444444444444442</v>
      </c>
      <c r="AK13">
        <f t="shared" si="11"/>
        <v>1</v>
      </c>
      <c r="AL13">
        <f t="shared" si="11"/>
        <v>1</v>
      </c>
      <c r="AW13" t="s">
        <v>12</v>
      </c>
      <c r="AX13">
        <f>BC7-BC8</f>
        <v>0.78571428571428559</v>
      </c>
    </row>
    <row r="14" spans="1:55" ht="18.75" x14ac:dyDescent="0.3">
      <c r="A14" s="8" t="s">
        <v>20</v>
      </c>
      <c r="B14" s="8"/>
      <c r="C14" s="8" t="s">
        <v>21</v>
      </c>
      <c r="D14" s="21" t="str">
        <f>IF(AN7=AN8,D12/((AN7+AN8)/2),"Use Dmax")</f>
        <v>Use Dmax</v>
      </c>
      <c r="G14" t="s">
        <v>61</v>
      </c>
      <c r="H14" s="1" t="str">
        <f>IF(MIN(AN7:AN8)&gt;39,AK20,"na")</f>
        <v>na</v>
      </c>
      <c r="I14" s="22" t="str">
        <f>IF(MIN(AN7:AN8)&gt;39,AL20,"na")</f>
        <v>na</v>
      </c>
      <c r="J14" s="16"/>
      <c r="K14" s="16"/>
      <c r="L14" t="s">
        <v>34</v>
      </c>
      <c r="M14" s="1">
        <f>AK24</f>
        <v>0.55379284344428459</v>
      </c>
      <c r="AC14" t="str">
        <f>B8</f>
        <v>Female</v>
      </c>
      <c r="AD14">
        <f t="shared" ref="AD14:AL14" si="12">AD8/$AN8</f>
        <v>9.5238095238095233E-2</v>
      </c>
      <c r="AE14">
        <f t="shared" si="12"/>
        <v>0.38095238095238093</v>
      </c>
      <c r="AF14">
        <f t="shared" si="12"/>
        <v>0.66666666666666663</v>
      </c>
      <c r="AG14">
        <f t="shared" si="12"/>
        <v>0.7142857142857143</v>
      </c>
      <c r="AH14">
        <f t="shared" si="12"/>
        <v>0.7142857142857143</v>
      </c>
      <c r="AI14">
        <f t="shared" si="12"/>
        <v>0.7142857142857143</v>
      </c>
      <c r="AJ14">
        <f t="shared" si="12"/>
        <v>0.80952380952380953</v>
      </c>
      <c r="AK14">
        <f t="shared" si="12"/>
        <v>0.95238095238095233</v>
      </c>
      <c r="AL14">
        <f t="shared" si="12"/>
        <v>1</v>
      </c>
      <c r="AW14" t="s">
        <v>13</v>
      </c>
      <c r="AX14">
        <f>((BA10/AN7)+(BA11/AN8))^0.5</f>
        <v>0.72250638257098387</v>
      </c>
    </row>
    <row r="15" spans="1:55" ht="18.75" x14ac:dyDescent="0.3">
      <c r="A15" s="8"/>
      <c r="B15" s="8"/>
      <c r="C15" s="8"/>
      <c r="D15" s="8"/>
      <c r="G15" t="s">
        <v>73</v>
      </c>
      <c r="H15" s="1" t="str">
        <f>IF(MIN(AN7:AN8)&gt;39,AK21,"na")</f>
        <v>na</v>
      </c>
      <c r="I15" s="22" t="str">
        <f>IF(MIN(AN7:AN8)&gt;39,AL21,"na")</f>
        <v>na</v>
      </c>
      <c r="AN15" t="s">
        <v>18</v>
      </c>
      <c r="AW15" t="s">
        <v>14</v>
      </c>
      <c r="AX15" s="15">
        <f>AX13/AX14</f>
        <v>1.0874842142132797</v>
      </c>
    </row>
    <row r="16" spans="1:55" x14ac:dyDescent="0.25">
      <c r="A16" s="37" t="str">
        <f>IF(MIN(AN7:AN8)&lt;50,"Your samples may be a bit too small to trust the results of a t-test","Your samples are large so you may choose to use parametric tests like the t-test and F ratio")</f>
        <v>Your samples may be a bit too small to trust the results of a t-test</v>
      </c>
      <c r="B16" s="37"/>
      <c r="C16" s="37"/>
      <c r="D16" s="37"/>
      <c r="AC16" t="s">
        <v>17</v>
      </c>
      <c r="AD16">
        <f>ABS(AD13-AD14)</f>
        <v>1.5873015873015872E-2</v>
      </c>
      <c r="AE16">
        <f t="shared" ref="AE16:AI16" si="13">ABS(AE13-AE14)</f>
        <v>6.3492063492063489E-2</v>
      </c>
      <c r="AF16">
        <f t="shared" si="13"/>
        <v>0</v>
      </c>
      <c r="AG16">
        <f t="shared" si="13"/>
        <v>0.17460317460317454</v>
      </c>
      <c r="AH16">
        <f t="shared" si="13"/>
        <v>0.17460317460317454</v>
      </c>
      <c r="AI16">
        <f t="shared" si="13"/>
        <v>0.17460317460317454</v>
      </c>
      <c r="AJ16">
        <f t="shared" ref="AJ16:AL16" si="14">ABS(AJ13-AJ14)</f>
        <v>0.13492063492063489</v>
      </c>
      <c r="AK16">
        <f t="shared" si="14"/>
        <v>4.7619047619047672E-2</v>
      </c>
      <c r="AL16">
        <f t="shared" si="14"/>
        <v>0</v>
      </c>
      <c r="AN16">
        <f>MAX(AD16:AL16)</f>
        <v>0.17460317460317454</v>
      </c>
      <c r="AW16" t="s">
        <v>0</v>
      </c>
      <c r="AX16">
        <f>AN7+AN8-2</f>
        <v>37</v>
      </c>
    </row>
    <row r="17" spans="1:48" x14ac:dyDescent="0.25">
      <c r="A17" s="37"/>
      <c r="B17" s="37"/>
      <c r="C17" s="37"/>
      <c r="D17" s="37"/>
      <c r="AT17" t="s">
        <v>30</v>
      </c>
      <c r="AU17">
        <f>_xlfn.T.DIST.2T(AX15,AX16)</f>
        <v>0.28385646534960574</v>
      </c>
      <c r="AV17">
        <f>IF(AU17&gt;0.001,AU17,"p&lt;0.001")</f>
        <v>0.28385646534960574</v>
      </c>
    </row>
    <row r="18" spans="1:48" x14ac:dyDescent="0.25">
      <c r="A18" s="37"/>
      <c r="B18" s="37"/>
      <c r="C18" s="37"/>
      <c r="D18" s="37"/>
      <c r="AI18" t="s">
        <v>25</v>
      </c>
      <c r="AK18">
        <f>((AN7+AN8)/(AN7*AN8))^0.5</f>
        <v>0.3212080372198105</v>
      </c>
      <c r="AT18" t="s">
        <v>34</v>
      </c>
      <c r="AU18">
        <f>AU17/2</f>
        <v>0.14192823267480287</v>
      </c>
      <c r="AV18">
        <f>IF(AU18&gt;0.001,AU18,"p&lt;0.001")</f>
        <v>0.14192823267480287</v>
      </c>
    </row>
    <row r="19" spans="1:48" x14ac:dyDescent="0.25">
      <c r="AI19">
        <v>0.05</v>
      </c>
      <c r="AJ19">
        <v>1.36</v>
      </c>
      <c r="AK19">
        <f>AJ19*AK18</f>
        <v>0.4368429306189423</v>
      </c>
      <c r="AL19" t="str">
        <f>IF(AN16&gt;AK19,"Yes","No")</f>
        <v>No</v>
      </c>
      <c r="AT19" t="s">
        <v>35</v>
      </c>
      <c r="AU19">
        <f>_xlfn.NORM.S.INV(AU18)</f>
        <v>-1.0716962953242031</v>
      </c>
    </row>
    <row r="20" spans="1:48" ht="18.75" x14ac:dyDescent="0.3">
      <c r="A20" s="10" t="s">
        <v>22</v>
      </c>
      <c r="B20" s="10"/>
      <c r="C20" s="8" t="s">
        <v>26</v>
      </c>
      <c r="D20" s="7" t="str">
        <f>IF(MIN(AN7:AN8)&gt;24,AX15,"na")</f>
        <v>na</v>
      </c>
      <c r="AI20">
        <v>0.01</v>
      </c>
      <c r="AJ20">
        <v>1.63</v>
      </c>
      <c r="AK20">
        <f>AJ20*AK18</f>
        <v>0.5235691006682911</v>
      </c>
      <c r="AL20" t="str">
        <f>IF(AN16&gt;AK20,"Yes","No")</f>
        <v>No</v>
      </c>
      <c r="AT20" t="s">
        <v>36</v>
      </c>
      <c r="AU20">
        <f>AU19/((AN7+AN8)^0.5)</f>
        <v>-0.17160874921001606</v>
      </c>
    </row>
    <row r="21" spans="1:48" ht="18.75" x14ac:dyDescent="0.3">
      <c r="A21" s="10"/>
      <c r="B21" s="10" t="s">
        <v>23</v>
      </c>
      <c r="C21" s="8" t="s">
        <v>25</v>
      </c>
      <c r="D21" s="29" t="str">
        <f>IF(MIN(AN7:AN8)&gt;24,AV17,"na")</f>
        <v>na</v>
      </c>
      <c r="AI21">
        <v>1E-3</v>
      </c>
      <c r="AJ21">
        <v>1.95</v>
      </c>
      <c r="AK21">
        <f>AJ21*AK18</f>
        <v>0.62635567257863045</v>
      </c>
      <c r="AL21" t="str">
        <f>IF(AN16&gt;AK21,"Yes","No")</f>
        <v>No</v>
      </c>
      <c r="AT21" t="s">
        <v>38</v>
      </c>
      <c r="AU21">
        <f>(MAX(BA10:BA11))/(MIN(BA10:BA11))</f>
        <v>2.0189662189662188</v>
      </c>
    </row>
    <row r="22" spans="1:48" ht="18.75" x14ac:dyDescent="0.3">
      <c r="A22" s="10"/>
      <c r="B22" s="10" t="s">
        <v>24</v>
      </c>
      <c r="C22" s="8" t="s">
        <v>25</v>
      </c>
      <c r="D22" s="29" t="str">
        <f>IF(MIN(AN7:AN8)&gt;24,AV18,"na")</f>
        <v>na</v>
      </c>
      <c r="AU22" t="s">
        <v>42</v>
      </c>
      <c r="AV22" t="s">
        <v>43</v>
      </c>
    </row>
    <row r="23" spans="1:48" x14ac:dyDescent="0.25">
      <c r="AI23" t="s">
        <v>31</v>
      </c>
      <c r="AJ23">
        <f>(4*(AN16^2))</f>
        <v>0.12194507432602661</v>
      </c>
      <c r="AK23">
        <f>(AN7*AN8)/(AN7+AN8)</f>
        <v>9.6923076923076916</v>
      </c>
      <c r="AL23">
        <f>AJ23*AK23</f>
        <v>1.1819291819291808</v>
      </c>
      <c r="AT23" t="s">
        <v>40</v>
      </c>
      <c r="AU23">
        <f>_xlfn.F.INV.RT(0.025,MAX(AN7:AN8)-1,MIN(AN7:AN8)-1)</f>
        <v>2.6157991389296891</v>
      </c>
      <c r="AV23">
        <f>_xlfn.F.INV.RT(0.05,MAX(AN7:AN8)-1,MIN(AN7:AN8)-1)</f>
        <v>2.2303542821753983</v>
      </c>
    </row>
    <row r="24" spans="1:48" ht="15.75" x14ac:dyDescent="0.25">
      <c r="B24" s="7" t="s">
        <v>27</v>
      </c>
      <c r="C24" s="7" t="s">
        <v>28</v>
      </c>
      <c r="AI24" t="s">
        <v>32</v>
      </c>
      <c r="AJ24">
        <f>_xlfn.CHISQ.DIST.RT(AL23,2)</f>
        <v>0.55379284344428459</v>
      </c>
      <c r="AK24">
        <f>IF(AJ24&gt;0.001,AJ24,"p&lt;0.001")</f>
        <v>0.55379284344428459</v>
      </c>
      <c r="AT24" t="s">
        <v>41</v>
      </c>
      <c r="AU24">
        <f>_xlfn.F.INV.RT(0.005,MAX(AN7:AN8)-1,MIN(AN7:AN8)-1)</f>
        <v>3.6073166868123803</v>
      </c>
      <c r="AV24">
        <f>_xlfn.F.INV.RT(0.01,MAX(AN7:AN8)-1,MIN(AN7:AN8)-1)</f>
        <v>3.1615175365551011</v>
      </c>
    </row>
    <row r="25" spans="1:48" ht="15.75" x14ac:dyDescent="0.25">
      <c r="A25" s="7" t="str">
        <f>B7</f>
        <v>Male</v>
      </c>
      <c r="B25" s="1">
        <f>BA7</f>
        <v>6.833333333333333</v>
      </c>
      <c r="C25" s="5">
        <f>BB10</f>
        <v>1.8550408272025269</v>
      </c>
    </row>
    <row r="26" spans="1:48" ht="15.75" x14ac:dyDescent="0.25">
      <c r="A26" s="7" t="str">
        <f>B8</f>
        <v>Female</v>
      </c>
      <c r="B26" s="1">
        <f>BA8</f>
        <v>6.0476190476190474</v>
      </c>
      <c r="C26" s="5">
        <f>BB11</f>
        <v>2.635833653252619</v>
      </c>
      <c r="AI26" t="s">
        <v>33</v>
      </c>
      <c r="AJ26">
        <f>AJ24*2</f>
        <v>1.1075856868885692</v>
      </c>
      <c r="AK26">
        <f t="shared" ref="AK26" si="15">IF(AJ26&gt;0.001,AJ26,"p&lt;0.001")</f>
        <v>1.1075856868885692</v>
      </c>
    </row>
    <row r="28" spans="1:48" x14ac:dyDescent="0.25">
      <c r="A28" t="s">
        <v>37</v>
      </c>
      <c r="C28" s="1">
        <f>ABS(AU20)</f>
        <v>0.17160874921001606</v>
      </c>
    </row>
    <row r="30" spans="1:48" x14ac:dyDescent="0.25">
      <c r="D30" t="s">
        <v>30</v>
      </c>
      <c r="E30" t="s">
        <v>34</v>
      </c>
    </row>
    <row r="31" spans="1:48" x14ac:dyDescent="0.25">
      <c r="A31" t="s">
        <v>39</v>
      </c>
      <c r="C31" s="1">
        <f>AU21</f>
        <v>2.0189662189662188</v>
      </c>
      <c r="D31" t="str">
        <f>IF(C31&lt;AU23,"p &gt; 0.05","p&lt;0.05")</f>
        <v>p &gt; 0.05</v>
      </c>
      <c r="E31" t="str">
        <f>IF(C31&lt;AV23,"p &gt; 0.05","p&lt;0.05")</f>
        <v>p &gt; 0.05</v>
      </c>
    </row>
    <row r="32" spans="1:48" x14ac:dyDescent="0.25">
      <c r="D32" t="str">
        <f>IF(C31&lt;AU24,"p &gt; 0.01","p&lt;0.01")</f>
        <v>p &gt; 0.01</v>
      </c>
      <c r="E32" t="str">
        <f>IF(C31&lt;AV24,"p &gt; 0.01","p&lt;0.01")</f>
        <v>p &gt; 0.01</v>
      </c>
    </row>
  </sheetData>
  <mergeCells count="3">
    <mergeCell ref="B7:C7"/>
    <mergeCell ref="B8:C8"/>
    <mergeCell ref="A16:D1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I32"/>
  <sheetViews>
    <sheetView workbookViewId="0">
      <selection activeCell="BG12" sqref="BG12"/>
    </sheetView>
  </sheetViews>
  <sheetFormatPr defaultRowHeight="15" x14ac:dyDescent="0.25"/>
  <cols>
    <col min="3" max="3" width="8.5703125" customWidth="1"/>
    <col min="4" max="5" width="8.7109375" customWidth="1"/>
    <col min="6" max="6" width="8.85546875" customWidth="1"/>
    <col min="7" max="7" width="8.7109375" customWidth="1"/>
    <col min="8" max="8" width="8.5703125" customWidth="1"/>
    <col min="9" max="9" width="8.7109375" customWidth="1"/>
    <col min="25" max="25" width="12" bestFit="1" customWidth="1"/>
  </cols>
  <sheetData>
    <row r="2" spans="1:61" ht="15" customHeight="1" x14ac:dyDescent="0.25">
      <c r="B2" s="32"/>
      <c r="C2" s="16"/>
      <c r="D2" s="16"/>
      <c r="E2" s="16"/>
      <c r="F2" s="16"/>
      <c r="G2" s="16"/>
      <c r="H2" s="16"/>
      <c r="I2" s="16"/>
    </row>
    <row r="3" spans="1:61" x14ac:dyDescent="0.25">
      <c r="B3" s="16"/>
      <c r="C3" s="16"/>
      <c r="D3" s="16"/>
      <c r="E3" s="16"/>
      <c r="F3" s="16"/>
      <c r="G3" s="16"/>
      <c r="H3" s="16"/>
      <c r="I3" s="16"/>
    </row>
    <row r="4" spans="1:61" x14ac:dyDescent="0.25">
      <c r="AG4" t="s">
        <v>29</v>
      </c>
    </row>
    <row r="5" spans="1:61" ht="15.75" customHeight="1" thickBot="1" x14ac:dyDescent="0.3"/>
    <row r="6" spans="1:61" ht="19.5" thickBot="1" x14ac:dyDescent="0.3">
      <c r="C6" s="11"/>
      <c r="D6" s="2" t="s">
        <v>45</v>
      </c>
      <c r="E6" s="2" t="s">
        <v>51</v>
      </c>
      <c r="F6" s="2" t="s">
        <v>52</v>
      </c>
      <c r="G6" s="2" t="s">
        <v>46</v>
      </c>
      <c r="H6" s="2" t="s">
        <v>53</v>
      </c>
      <c r="I6" s="2" t="s">
        <v>63</v>
      </c>
      <c r="J6" s="2" t="s">
        <v>64</v>
      </c>
      <c r="K6" s="2" t="s">
        <v>65</v>
      </c>
      <c r="L6" s="2" t="s">
        <v>66</v>
      </c>
      <c r="M6" s="2" t="s">
        <v>67</v>
      </c>
      <c r="O6" s="9" t="s">
        <v>7</v>
      </c>
      <c r="P6" s="9"/>
      <c r="R6" s="28" t="str">
        <f>D6</f>
        <v>A</v>
      </c>
      <c r="S6" s="28" t="str">
        <f t="shared" ref="S6:AA6" si="0">E6</f>
        <v>B</v>
      </c>
      <c r="T6" s="28" t="str">
        <f t="shared" si="0"/>
        <v>C</v>
      </c>
      <c r="U6" s="28" t="str">
        <f t="shared" si="0"/>
        <v>D</v>
      </c>
      <c r="V6" s="28" t="str">
        <f t="shared" si="0"/>
        <v>E</v>
      </c>
      <c r="W6" s="28" t="str">
        <f t="shared" si="0"/>
        <v>F</v>
      </c>
      <c r="X6" s="28" t="str">
        <f t="shared" si="0"/>
        <v>G</v>
      </c>
      <c r="Y6" s="28" t="str">
        <f t="shared" si="0"/>
        <v>H</v>
      </c>
      <c r="Z6" s="28" t="str">
        <f t="shared" si="0"/>
        <v>I</v>
      </c>
      <c r="AA6" s="28" t="str">
        <f t="shared" si="0"/>
        <v>J</v>
      </c>
      <c r="AF6" s="13"/>
      <c r="AH6" s="4" t="str">
        <f t="shared" ref="AH6:AQ6" si="1">D6</f>
        <v>A</v>
      </c>
      <c r="AI6" s="4" t="str">
        <f t="shared" si="1"/>
        <v>B</v>
      </c>
      <c r="AJ6" s="4" t="str">
        <f t="shared" si="1"/>
        <v>C</v>
      </c>
      <c r="AK6" s="4" t="str">
        <f t="shared" si="1"/>
        <v>D</v>
      </c>
      <c r="AL6" s="4" t="str">
        <f t="shared" si="1"/>
        <v>E</v>
      </c>
      <c r="AM6" s="4" t="str">
        <f t="shared" si="1"/>
        <v>F</v>
      </c>
      <c r="AN6" s="4" t="str">
        <f t="shared" si="1"/>
        <v>G</v>
      </c>
      <c r="AO6" s="4" t="str">
        <f t="shared" si="1"/>
        <v>H</v>
      </c>
      <c r="AP6" s="4" t="str">
        <f t="shared" si="1"/>
        <v>I</v>
      </c>
      <c r="AQ6" s="4" t="str">
        <f t="shared" si="1"/>
        <v>J</v>
      </c>
      <c r="AR6" s="4"/>
      <c r="AS6" s="2" t="s">
        <v>7</v>
      </c>
      <c r="AT6" s="4"/>
      <c r="AV6" s="4" t="str">
        <f t="shared" ref="AV6:BE6" si="2">D6</f>
        <v>A</v>
      </c>
      <c r="AW6" s="4" t="str">
        <f t="shared" si="2"/>
        <v>B</v>
      </c>
      <c r="AX6" s="4" t="str">
        <f t="shared" si="2"/>
        <v>C</v>
      </c>
      <c r="AY6" s="4" t="str">
        <f t="shared" si="2"/>
        <v>D</v>
      </c>
      <c r="AZ6" s="4" t="str">
        <f t="shared" si="2"/>
        <v>E</v>
      </c>
      <c r="BA6" s="4" t="str">
        <f t="shared" si="2"/>
        <v>F</v>
      </c>
      <c r="BB6" s="4" t="str">
        <f t="shared" si="2"/>
        <v>G</v>
      </c>
      <c r="BC6" s="4" t="str">
        <f t="shared" si="2"/>
        <v>H</v>
      </c>
      <c r="BD6" s="4" t="str">
        <f t="shared" si="2"/>
        <v>I</v>
      </c>
      <c r="BE6" s="4" t="str">
        <f t="shared" si="2"/>
        <v>J</v>
      </c>
      <c r="BG6" t="s">
        <v>9</v>
      </c>
    </row>
    <row r="7" spans="1:61" ht="19.5" thickBot="1" x14ac:dyDescent="0.3">
      <c r="B7" s="40" t="s">
        <v>49</v>
      </c>
      <c r="C7" s="41"/>
      <c r="D7" s="12">
        <v>8</v>
      </c>
      <c r="E7" s="12">
        <v>16</v>
      </c>
      <c r="F7" s="12">
        <v>35</v>
      </c>
      <c r="G7" s="12">
        <v>14</v>
      </c>
      <c r="H7" s="12">
        <v>6</v>
      </c>
      <c r="I7" s="12">
        <v>2</v>
      </c>
      <c r="J7" s="12">
        <v>7</v>
      </c>
      <c r="K7" s="12">
        <v>10</v>
      </c>
      <c r="L7" s="12">
        <v>2</v>
      </c>
      <c r="M7" s="12">
        <v>0</v>
      </c>
      <c r="O7">
        <f>SUM(D7:M7)</f>
        <v>100</v>
      </c>
      <c r="Q7" t="str">
        <f>B7</f>
        <v>Male</v>
      </c>
      <c r="R7" s="5">
        <f>(D7/$O7)*100</f>
        <v>8</v>
      </c>
      <c r="S7" s="5">
        <f t="shared" ref="S7:AA8" si="3">(E7/$O7)*100</f>
        <v>16</v>
      </c>
      <c r="T7" s="5">
        <f t="shared" si="3"/>
        <v>35</v>
      </c>
      <c r="U7" s="5">
        <f t="shared" si="3"/>
        <v>14.000000000000002</v>
      </c>
      <c r="V7" s="5">
        <f t="shared" si="3"/>
        <v>6</v>
      </c>
      <c r="W7" s="5">
        <f t="shared" si="3"/>
        <v>2</v>
      </c>
      <c r="X7" s="5">
        <f t="shared" si="3"/>
        <v>7.0000000000000009</v>
      </c>
      <c r="Y7" s="5">
        <f t="shared" si="3"/>
        <v>10</v>
      </c>
      <c r="Z7" s="5">
        <f t="shared" si="3"/>
        <v>2</v>
      </c>
      <c r="AA7" s="5">
        <f t="shared" si="3"/>
        <v>0</v>
      </c>
      <c r="AF7" s="13"/>
      <c r="AG7" t="str">
        <f>B7</f>
        <v>Male</v>
      </c>
      <c r="AH7">
        <f>D7</f>
        <v>8</v>
      </c>
      <c r="AI7">
        <f t="shared" ref="AI7:AQ8" si="4">E7+AH7</f>
        <v>24</v>
      </c>
      <c r="AJ7">
        <f t="shared" si="4"/>
        <v>59</v>
      </c>
      <c r="AK7">
        <f t="shared" si="4"/>
        <v>73</v>
      </c>
      <c r="AL7">
        <f t="shared" si="4"/>
        <v>79</v>
      </c>
      <c r="AM7">
        <f t="shared" si="4"/>
        <v>81</v>
      </c>
      <c r="AN7">
        <f t="shared" si="4"/>
        <v>88</v>
      </c>
      <c r="AO7">
        <f t="shared" si="4"/>
        <v>98</v>
      </c>
      <c r="AP7">
        <f t="shared" si="4"/>
        <v>100</v>
      </c>
      <c r="AQ7">
        <f t="shared" si="4"/>
        <v>100</v>
      </c>
      <c r="AS7" s="3">
        <f>SUM(D7:M7)</f>
        <v>100</v>
      </c>
      <c r="AU7" t="str">
        <f>B7</f>
        <v>Male</v>
      </c>
      <c r="AV7">
        <f t="shared" ref="AV7:BE7" si="5">D7*D10</f>
        <v>80</v>
      </c>
      <c r="AW7">
        <f t="shared" si="5"/>
        <v>144</v>
      </c>
      <c r="AX7">
        <f t="shared" si="5"/>
        <v>280</v>
      </c>
      <c r="AY7">
        <f t="shared" si="5"/>
        <v>98</v>
      </c>
      <c r="AZ7">
        <f t="shared" si="5"/>
        <v>36</v>
      </c>
      <c r="BA7">
        <f t="shared" si="5"/>
        <v>10</v>
      </c>
      <c r="BB7">
        <f t="shared" si="5"/>
        <v>28</v>
      </c>
      <c r="BC7">
        <f t="shared" si="5"/>
        <v>30</v>
      </c>
      <c r="BD7">
        <f t="shared" si="5"/>
        <v>4</v>
      </c>
      <c r="BE7">
        <f t="shared" si="5"/>
        <v>0</v>
      </c>
      <c r="BG7">
        <f>SUM(AV7:BE7)/AS7</f>
        <v>7.1</v>
      </c>
      <c r="BH7" t="s">
        <v>15</v>
      </c>
      <c r="BI7">
        <f>MAX(BG7:BG8)</f>
        <v>7.1</v>
      </c>
    </row>
    <row r="8" spans="1:61" ht="19.5" thickBot="1" x14ac:dyDescent="0.3">
      <c r="B8" s="40" t="s">
        <v>50</v>
      </c>
      <c r="C8" s="41"/>
      <c r="D8" s="12">
        <v>2</v>
      </c>
      <c r="E8" s="12">
        <v>6</v>
      </c>
      <c r="F8" s="12">
        <v>12</v>
      </c>
      <c r="G8" s="12">
        <v>27</v>
      </c>
      <c r="H8" s="12">
        <v>20</v>
      </c>
      <c r="I8" s="12">
        <v>11</v>
      </c>
      <c r="J8" s="12">
        <v>8</v>
      </c>
      <c r="K8" s="12">
        <v>10</v>
      </c>
      <c r="L8" s="12">
        <v>3</v>
      </c>
      <c r="M8" s="12">
        <v>1</v>
      </c>
      <c r="O8">
        <f>SUM(D8:M8)</f>
        <v>100</v>
      </c>
      <c r="Q8" t="str">
        <f>B8</f>
        <v>Female</v>
      </c>
      <c r="R8" s="5">
        <f>(D8/$O8)*100</f>
        <v>2</v>
      </c>
      <c r="S8" s="5">
        <f t="shared" si="3"/>
        <v>6</v>
      </c>
      <c r="T8" s="5">
        <f t="shared" si="3"/>
        <v>12</v>
      </c>
      <c r="U8" s="5">
        <f t="shared" si="3"/>
        <v>27</v>
      </c>
      <c r="V8" s="5">
        <f t="shared" si="3"/>
        <v>20</v>
      </c>
      <c r="W8" s="5">
        <f t="shared" si="3"/>
        <v>11</v>
      </c>
      <c r="X8" s="5">
        <f t="shared" si="3"/>
        <v>8</v>
      </c>
      <c r="Y8" s="5">
        <f t="shared" si="3"/>
        <v>10</v>
      </c>
      <c r="Z8" s="5">
        <f t="shared" si="3"/>
        <v>3</v>
      </c>
      <c r="AA8" s="5">
        <f t="shared" si="3"/>
        <v>1</v>
      </c>
      <c r="AF8" s="13"/>
      <c r="AG8" t="str">
        <f>B8</f>
        <v>Female</v>
      </c>
      <c r="AH8">
        <f>D8</f>
        <v>2</v>
      </c>
      <c r="AI8">
        <f t="shared" si="4"/>
        <v>8</v>
      </c>
      <c r="AJ8">
        <f t="shared" si="4"/>
        <v>20</v>
      </c>
      <c r="AK8">
        <f t="shared" si="4"/>
        <v>47</v>
      </c>
      <c r="AL8">
        <f t="shared" si="4"/>
        <v>67</v>
      </c>
      <c r="AM8">
        <f t="shared" si="4"/>
        <v>78</v>
      </c>
      <c r="AN8">
        <f t="shared" si="4"/>
        <v>86</v>
      </c>
      <c r="AO8">
        <f t="shared" si="4"/>
        <v>96</v>
      </c>
      <c r="AP8">
        <f t="shared" si="4"/>
        <v>99</v>
      </c>
      <c r="AQ8">
        <f t="shared" si="4"/>
        <v>100</v>
      </c>
      <c r="AS8" s="3">
        <f>SUM(D8:M8)</f>
        <v>100</v>
      </c>
      <c r="AU8" t="str">
        <f>B8</f>
        <v>Female</v>
      </c>
      <c r="AV8">
        <f t="shared" ref="AV8:BE8" si="6">D8*D10</f>
        <v>20</v>
      </c>
      <c r="AW8">
        <f t="shared" si="6"/>
        <v>54</v>
      </c>
      <c r="AX8">
        <f t="shared" si="6"/>
        <v>96</v>
      </c>
      <c r="AY8">
        <f t="shared" si="6"/>
        <v>189</v>
      </c>
      <c r="AZ8">
        <f t="shared" si="6"/>
        <v>120</v>
      </c>
      <c r="BA8">
        <f t="shared" si="6"/>
        <v>55</v>
      </c>
      <c r="BB8">
        <f t="shared" si="6"/>
        <v>32</v>
      </c>
      <c r="BC8">
        <f t="shared" si="6"/>
        <v>30</v>
      </c>
      <c r="BD8">
        <f t="shared" si="6"/>
        <v>6</v>
      </c>
      <c r="BE8">
        <f t="shared" si="6"/>
        <v>1</v>
      </c>
      <c r="BG8">
        <f>SUM(AV8:BE8)/AS8</f>
        <v>6.03</v>
      </c>
      <c r="BH8" t="s">
        <v>16</v>
      </c>
      <c r="BI8">
        <f>MIN(BG7:BG8)</f>
        <v>6.03</v>
      </c>
    </row>
    <row r="9" spans="1:61" x14ac:dyDescent="0.25">
      <c r="AS9" t="s">
        <v>18</v>
      </c>
      <c r="BG9" t="s">
        <v>10</v>
      </c>
      <c r="BH9" t="s">
        <v>11</v>
      </c>
    </row>
    <row r="10" spans="1:61" ht="18.75" x14ac:dyDescent="0.3">
      <c r="B10" s="8" t="s">
        <v>8</v>
      </c>
      <c r="D10" s="6">
        <v>10</v>
      </c>
      <c r="E10" s="6">
        <v>9</v>
      </c>
      <c r="F10" s="6">
        <v>8</v>
      </c>
      <c r="G10" s="6">
        <v>7</v>
      </c>
      <c r="H10" s="6">
        <v>6</v>
      </c>
      <c r="I10" s="6">
        <v>5</v>
      </c>
      <c r="J10" s="6">
        <v>4</v>
      </c>
      <c r="K10" s="6">
        <v>3</v>
      </c>
      <c r="L10" s="6">
        <v>2</v>
      </c>
      <c r="M10" s="6">
        <v>1</v>
      </c>
      <c r="AG10" t="s">
        <v>17</v>
      </c>
      <c r="AH10">
        <f>ABS(AH7-AH8)</f>
        <v>6</v>
      </c>
      <c r="AI10">
        <f t="shared" ref="AI10:AN10" si="7">ABS(AI7-AI8)</f>
        <v>16</v>
      </c>
      <c r="AJ10">
        <f t="shared" si="7"/>
        <v>39</v>
      </c>
      <c r="AK10">
        <f t="shared" si="7"/>
        <v>26</v>
      </c>
      <c r="AL10">
        <f t="shared" si="7"/>
        <v>12</v>
      </c>
      <c r="AM10">
        <f t="shared" si="7"/>
        <v>3</v>
      </c>
      <c r="AN10">
        <f t="shared" si="7"/>
        <v>2</v>
      </c>
      <c r="AO10">
        <f t="shared" ref="AO10:AQ10" si="8">ABS(AO7-AO8)</f>
        <v>2</v>
      </c>
      <c r="AP10">
        <f t="shared" si="8"/>
        <v>1</v>
      </c>
      <c r="AQ10">
        <f t="shared" si="8"/>
        <v>0</v>
      </c>
      <c r="AS10">
        <f>MAX(AH10:AQ10)</f>
        <v>39</v>
      </c>
      <c r="AU10" t="str">
        <f>AU7</f>
        <v>Male</v>
      </c>
      <c r="AV10">
        <f t="shared" ref="AV10:BE10" si="9">((D10-$BG7)^2)*D7</f>
        <v>67.280000000000015</v>
      </c>
      <c r="AW10">
        <f t="shared" si="9"/>
        <v>57.760000000000019</v>
      </c>
      <c r="AX10">
        <f t="shared" si="9"/>
        <v>28.350000000000023</v>
      </c>
      <c r="AY10">
        <f t="shared" si="9"/>
        <v>0.13999999999999901</v>
      </c>
      <c r="AZ10">
        <f t="shared" si="9"/>
        <v>7.2599999999999962</v>
      </c>
      <c r="BA10">
        <f t="shared" si="9"/>
        <v>8.8199999999999967</v>
      </c>
      <c r="BB10">
        <f t="shared" si="9"/>
        <v>67.269999999999982</v>
      </c>
      <c r="BC10">
        <f t="shared" si="9"/>
        <v>168.1</v>
      </c>
      <c r="BD10">
        <f t="shared" si="9"/>
        <v>52.019999999999996</v>
      </c>
      <c r="BE10">
        <f t="shared" si="9"/>
        <v>0</v>
      </c>
      <c r="BG10">
        <f>(SUM(AV10:BE10))/(AS7-1)</f>
        <v>4.6161616161616159</v>
      </c>
      <c r="BH10" s="5">
        <f>BG10^0.5</f>
        <v>2.1485254515973544</v>
      </c>
    </row>
    <row r="11" spans="1:61" x14ac:dyDescent="0.25">
      <c r="AU11" t="str">
        <f>AU8</f>
        <v>Female</v>
      </c>
      <c r="AV11">
        <f t="shared" ref="AV11:BE11" si="10">((D10-$BG8)^2)*D8</f>
        <v>31.521799999999995</v>
      </c>
      <c r="AW11">
        <f t="shared" si="10"/>
        <v>52.925399999999989</v>
      </c>
      <c r="AX11">
        <f t="shared" si="10"/>
        <v>46.570799999999991</v>
      </c>
      <c r="AY11">
        <f t="shared" si="10"/>
        <v>25.404299999999989</v>
      </c>
      <c r="AZ11">
        <f t="shared" si="10"/>
        <v>1.80000000000003E-2</v>
      </c>
      <c r="BA11">
        <f t="shared" si="10"/>
        <v>11.669900000000007</v>
      </c>
      <c r="BB11">
        <f t="shared" si="10"/>
        <v>32.967200000000005</v>
      </c>
      <c r="BC11">
        <f t="shared" si="10"/>
        <v>91.809000000000012</v>
      </c>
      <c r="BD11">
        <f t="shared" si="10"/>
        <v>48.72270000000001</v>
      </c>
      <c r="BE11">
        <f t="shared" si="10"/>
        <v>25.300900000000002</v>
      </c>
      <c r="BG11">
        <f>(SUM(AV11:BE11))/(AS8-1)</f>
        <v>3.7061616161616162</v>
      </c>
      <c r="BH11" s="5">
        <f>BG11^0.5</f>
        <v>1.9251393757755868</v>
      </c>
    </row>
    <row r="12" spans="1:61" ht="17.25" customHeight="1" x14ac:dyDescent="0.25">
      <c r="A12" s="17"/>
      <c r="B12" s="17"/>
      <c r="C12" s="14" t="s">
        <v>19</v>
      </c>
      <c r="D12" s="14">
        <f>IF(AS7=AS8,AS10,AS16)</f>
        <v>39</v>
      </c>
      <c r="E12" s="16"/>
      <c r="G12" t="s">
        <v>60</v>
      </c>
      <c r="I12" t="s">
        <v>62</v>
      </c>
      <c r="K12" s="16"/>
      <c r="L12" t="s">
        <v>97</v>
      </c>
      <c r="AH12" s="4"/>
      <c r="AI12" s="4"/>
      <c r="AJ12" s="4"/>
      <c r="AK12" s="4"/>
      <c r="AL12" s="4"/>
      <c r="AM12" s="4"/>
      <c r="AN12" s="4"/>
      <c r="AO12" s="4"/>
      <c r="AP12" s="4"/>
      <c r="AQ12" s="4"/>
    </row>
    <row r="13" spans="1:61" ht="15" customHeight="1" x14ac:dyDescent="0.25">
      <c r="A13" s="17"/>
      <c r="B13" s="17"/>
      <c r="G13" t="s">
        <v>59</v>
      </c>
      <c r="H13" s="1">
        <f>IF(MIN(AS7:AS8)&gt;39,AO19,"na")</f>
        <v>0.19233304448274094</v>
      </c>
      <c r="I13" s="22" t="str">
        <f>IF(MIN(AS7:AS8)&gt;39,AP19,"na")</f>
        <v>Yes</v>
      </c>
      <c r="K13" s="16"/>
      <c r="L13" s="16" t="s">
        <v>30</v>
      </c>
      <c r="M13" s="31" t="str">
        <f>IF(AN26&lt;1,AO26,1)</f>
        <v>p&lt; 0.001</v>
      </c>
      <c r="AG13" t="str">
        <f>B7</f>
        <v>Male</v>
      </c>
      <c r="AH13">
        <f t="shared" ref="AH13:AQ13" si="11">AH7/$AS7</f>
        <v>0.08</v>
      </c>
      <c r="AI13">
        <f t="shared" si="11"/>
        <v>0.24</v>
      </c>
      <c r="AJ13">
        <f t="shared" si="11"/>
        <v>0.59</v>
      </c>
      <c r="AK13">
        <f t="shared" si="11"/>
        <v>0.73</v>
      </c>
      <c r="AL13">
        <f t="shared" si="11"/>
        <v>0.79</v>
      </c>
      <c r="AM13">
        <f t="shared" si="11"/>
        <v>0.81</v>
      </c>
      <c r="AN13">
        <f t="shared" si="11"/>
        <v>0.88</v>
      </c>
      <c r="AO13">
        <f t="shared" si="11"/>
        <v>0.98</v>
      </c>
      <c r="AP13">
        <f t="shared" si="11"/>
        <v>1</v>
      </c>
      <c r="AQ13">
        <f t="shared" si="11"/>
        <v>1</v>
      </c>
      <c r="BB13" t="s">
        <v>12</v>
      </c>
      <c r="BC13">
        <f>BI7-BI8</f>
        <v>1.0699999999999994</v>
      </c>
    </row>
    <row r="14" spans="1:61" ht="18.75" x14ac:dyDescent="0.3">
      <c r="A14" s="8" t="s">
        <v>20</v>
      </c>
      <c r="B14" s="8"/>
      <c r="C14" s="8" t="s">
        <v>21</v>
      </c>
      <c r="D14" s="21">
        <f>IF(AS7=AS8,D12/((AS7+AS8)/2),"Use Dmax")</f>
        <v>0.39</v>
      </c>
      <c r="G14" t="s">
        <v>61</v>
      </c>
      <c r="H14" s="1">
        <f>IF(MIN(AS7:AS8)&gt;39,AO20,"na")</f>
        <v>0.23051681066681448</v>
      </c>
      <c r="I14" s="22" t="str">
        <f>IF(MIN(AS7:AS8)&gt;39,AP20,"na")</f>
        <v>Yes</v>
      </c>
      <c r="K14" s="16"/>
      <c r="L14" t="s">
        <v>34</v>
      </c>
      <c r="M14" s="1" t="str">
        <f>AO24</f>
        <v>p&lt; 0.001</v>
      </c>
      <c r="AG14" t="str">
        <f>B8</f>
        <v>Female</v>
      </c>
      <c r="AH14">
        <f t="shared" ref="AH14:AQ14" si="12">AH8/$AS8</f>
        <v>0.02</v>
      </c>
      <c r="AI14">
        <f t="shared" si="12"/>
        <v>0.08</v>
      </c>
      <c r="AJ14">
        <f t="shared" si="12"/>
        <v>0.2</v>
      </c>
      <c r="AK14">
        <f t="shared" si="12"/>
        <v>0.47</v>
      </c>
      <c r="AL14">
        <f t="shared" si="12"/>
        <v>0.67</v>
      </c>
      <c r="AM14">
        <f t="shared" si="12"/>
        <v>0.78</v>
      </c>
      <c r="AN14">
        <f t="shared" si="12"/>
        <v>0.86</v>
      </c>
      <c r="AO14">
        <f t="shared" si="12"/>
        <v>0.96</v>
      </c>
      <c r="AP14">
        <f t="shared" si="12"/>
        <v>0.99</v>
      </c>
      <c r="AQ14">
        <f t="shared" si="12"/>
        <v>1</v>
      </c>
      <c r="BB14" t="s">
        <v>13</v>
      </c>
      <c r="BC14">
        <f>((BG10/AS7)+(BG11/AS8))^0.5</f>
        <v>0.28848437102074059</v>
      </c>
    </row>
    <row r="15" spans="1:61" ht="18.75" x14ac:dyDescent="0.3">
      <c r="A15" s="8"/>
      <c r="B15" s="8"/>
      <c r="C15" s="8"/>
      <c r="D15" s="8"/>
      <c r="G15" t="s">
        <v>73</v>
      </c>
      <c r="H15" s="1">
        <f>IF(MIN(AS7:AS8)&gt;39,AO21,"na")</f>
        <v>0.2757716446627535</v>
      </c>
      <c r="I15" s="22" t="str">
        <f>IF(MIN(AS7:AS8)&gt;39,AP21,"na")</f>
        <v>Yes</v>
      </c>
      <c r="AS15" t="s">
        <v>18</v>
      </c>
      <c r="BB15" t="s">
        <v>14</v>
      </c>
      <c r="BC15" s="15">
        <f>BC13/BC14</f>
        <v>3.7090397521849519</v>
      </c>
    </row>
    <row r="16" spans="1:61" x14ac:dyDescent="0.25">
      <c r="A16" s="37" t="str">
        <f>IF(MIN(AS7:AS8)&lt;50,"Your samples may be a bit too small to trust the results of a t-test","Your samples are large so you may choose to use parametric tests like the t-test and F ratio")</f>
        <v>Your samples are large so you may choose to use parametric tests like the t-test and F ratio</v>
      </c>
      <c r="B16" s="37"/>
      <c r="C16" s="37"/>
      <c r="D16" s="37"/>
      <c r="AG16" t="s">
        <v>17</v>
      </c>
      <c r="AH16">
        <f>ABS(AH13-AH14)</f>
        <v>0.06</v>
      </c>
      <c r="AI16">
        <f t="shared" ref="AI16:AN16" si="13">ABS(AI13-AI14)</f>
        <v>0.15999999999999998</v>
      </c>
      <c r="AJ16">
        <f t="shared" si="13"/>
        <v>0.38999999999999996</v>
      </c>
      <c r="AK16">
        <f t="shared" si="13"/>
        <v>0.26</v>
      </c>
      <c r="AL16">
        <f t="shared" si="13"/>
        <v>0.12</v>
      </c>
      <c r="AM16">
        <f t="shared" si="13"/>
        <v>3.0000000000000027E-2</v>
      </c>
      <c r="AN16">
        <f t="shared" si="13"/>
        <v>2.0000000000000018E-2</v>
      </c>
      <c r="AO16">
        <f t="shared" ref="AO16:AQ16" si="14">ABS(AO13-AO14)</f>
        <v>2.0000000000000018E-2</v>
      </c>
      <c r="AP16">
        <f t="shared" si="14"/>
        <v>1.0000000000000009E-2</v>
      </c>
      <c r="AQ16">
        <f t="shared" si="14"/>
        <v>0</v>
      </c>
      <c r="AS16">
        <f>MAX(AH16:AQ16)</f>
        <v>0.38999999999999996</v>
      </c>
      <c r="BB16" t="s">
        <v>0</v>
      </c>
      <c r="BC16">
        <f>AS7+AS8-2</f>
        <v>198</v>
      </c>
    </row>
    <row r="17" spans="1:52" x14ac:dyDescent="0.25">
      <c r="A17" s="37"/>
      <c r="B17" s="37"/>
      <c r="C17" s="37"/>
      <c r="D17" s="37"/>
      <c r="AX17" t="s">
        <v>30</v>
      </c>
      <c r="AY17">
        <f>_xlfn.T.DIST.2T(BC15,BC16)</f>
        <v>2.7015527323723325E-4</v>
      </c>
      <c r="AZ17" t="str">
        <f>IF(AY17&gt;0.001,AY17,"p&lt; 0.001")</f>
        <v>p&lt; 0.001</v>
      </c>
    </row>
    <row r="18" spans="1:52" x14ac:dyDescent="0.25">
      <c r="A18" s="37"/>
      <c r="B18" s="37"/>
      <c r="C18" s="37"/>
      <c r="D18" s="37"/>
      <c r="AM18" t="s">
        <v>25</v>
      </c>
      <c r="AO18">
        <f>((AS7+AS8)/(AS7*AS8))^0.5</f>
        <v>0.1414213562373095</v>
      </c>
      <c r="AX18" t="s">
        <v>34</v>
      </c>
      <c r="AY18">
        <f>AY17/2</f>
        <v>1.3507763661861662E-4</v>
      </c>
      <c r="AZ18" t="str">
        <f>IF(AY18&gt;0.001,AY18,"p&lt; 0.001")</f>
        <v>p&lt; 0.001</v>
      </c>
    </row>
    <row r="19" spans="1:52" x14ac:dyDescent="0.25">
      <c r="AM19">
        <v>0.05</v>
      </c>
      <c r="AN19">
        <v>1.36</v>
      </c>
      <c r="AO19">
        <f>AN19*AO18</f>
        <v>0.19233304448274094</v>
      </c>
      <c r="AP19" t="str">
        <f>IF(AS16&gt;AO19,"Yes","No")</f>
        <v>Yes</v>
      </c>
      <c r="AX19" t="s">
        <v>35</v>
      </c>
      <c r="AY19">
        <f>_xlfn.NORM.S.INV(AY18)</f>
        <v>-3.6423548893959428</v>
      </c>
    </row>
    <row r="20" spans="1:52" ht="18.75" x14ac:dyDescent="0.3">
      <c r="A20" s="10" t="s">
        <v>22</v>
      </c>
      <c r="B20" s="10"/>
      <c r="C20" s="8" t="s">
        <v>26</v>
      </c>
      <c r="D20" s="21">
        <f>IF(MIN(AS7:AS8)&gt;24,BC15,"na")</f>
        <v>3.7090397521849519</v>
      </c>
      <c r="AM20">
        <v>0.01</v>
      </c>
      <c r="AN20">
        <v>1.63</v>
      </c>
      <c r="AO20">
        <f>AN20*AO18</f>
        <v>0.23051681066681448</v>
      </c>
      <c r="AP20" t="str">
        <f>IF(AS16&gt;AO20,"Yes","No")</f>
        <v>Yes</v>
      </c>
      <c r="AX20" t="s">
        <v>36</v>
      </c>
      <c r="AY20">
        <f>AY19/((AS7+AS8)^0.5)</f>
        <v>-0.25755338417798485</v>
      </c>
    </row>
    <row r="21" spans="1:52" ht="18.75" x14ac:dyDescent="0.3">
      <c r="A21" s="10"/>
      <c r="B21" s="10" t="s">
        <v>23</v>
      </c>
      <c r="C21" s="8" t="s">
        <v>25</v>
      </c>
      <c r="D21" s="21" t="str">
        <f>IF(MIN(AS7:AS8)&gt;24,AZ17,"na")</f>
        <v>p&lt; 0.001</v>
      </c>
      <c r="AM21">
        <v>1E-3</v>
      </c>
      <c r="AN21">
        <v>1.95</v>
      </c>
      <c r="AO21">
        <f>AN21*AO18</f>
        <v>0.2757716446627535</v>
      </c>
      <c r="AP21" t="str">
        <f>IF(AS16&gt;AO21,"Yes","No")</f>
        <v>Yes</v>
      </c>
      <c r="AX21" t="s">
        <v>38</v>
      </c>
      <c r="AY21">
        <f>(MAX(BG10:BG11))/(MIN(BG10:BG11))</f>
        <v>1.2455370526832192</v>
      </c>
    </row>
    <row r="22" spans="1:52" ht="18.75" x14ac:dyDescent="0.3">
      <c r="A22" s="10"/>
      <c r="B22" s="10" t="s">
        <v>24</v>
      </c>
      <c r="C22" s="8" t="s">
        <v>25</v>
      </c>
      <c r="D22" s="21" t="str">
        <f>IF(MIN(AS7:AS8)&gt;24,AZ18,"na")</f>
        <v>p&lt; 0.001</v>
      </c>
      <c r="AY22" t="s">
        <v>42</v>
      </c>
      <c r="AZ22" t="s">
        <v>43</v>
      </c>
    </row>
    <row r="23" spans="1:52" x14ac:dyDescent="0.25">
      <c r="AM23" t="s">
        <v>31</v>
      </c>
      <c r="AN23">
        <f>(4*(AS16^2))</f>
        <v>0.60839999999999983</v>
      </c>
      <c r="AO23">
        <f>(AS7*AS8)/(AS7+AS8)</f>
        <v>50</v>
      </c>
      <c r="AP23">
        <f>AN23*AO23</f>
        <v>30.419999999999991</v>
      </c>
      <c r="AX23" t="s">
        <v>40</v>
      </c>
      <c r="AY23">
        <f>_xlfn.F.INV.RT(0.025,MAX(AS7:AS8)-1,MIN(AS7:AS8)-1)</f>
        <v>1.4862337676192938</v>
      </c>
      <c r="AZ23">
        <f>_xlfn.F.INV.RT(0.05,MAX(AS7:AS8)-1,MIN(AS7:AS8)-1)</f>
        <v>1.3940612573481483</v>
      </c>
    </row>
    <row r="24" spans="1:52" ht="15.75" x14ac:dyDescent="0.25">
      <c r="B24" s="7" t="s">
        <v>27</v>
      </c>
      <c r="C24" s="7" t="s">
        <v>28</v>
      </c>
      <c r="AM24" t="s">
        <v>32</v>
      </c>
      <c r="AN24">
        <f>_xlfn.CHISQ.DIST.RT(AP23,2)</f>
        <v>2.479596018045041E-7</v>
      </c>
      <c r="AO24" t="str">
        <f>IF(AN24&gt;0.001,AN24,"p&lt; 0.001")</f>
        <v>p&lt; 0.001</v>
      </c>
      <c r="AX24" t="s">
        <v>41</v>
      </c>
      <c r="AY24">
        <f>_xlfn.F.INV.RT(0.005,MAX(AS7:AS8)-1,MIN(AS7:AS8)-1)</f>
        <v>1.6853634818107408</v>
      </c>
      <c r="AZ24">
        <f>_xlfn.F.INV.RT(0.01,MAX(AS7:AS8)-1,MIN(AS7:AS8)-1)</f>
        <v>1.601498294840046</v>
      </c>
    </row>
    <row r="25" spans="1:52" ht="15.75" x14ac:dyDescent="0.25">
      <c r="A25" s="7" t="str">
        <f>B7</f>
        <v>Male</v>
      </c>
      <c r="B25" s="1">
        <f>BG7</f>
        <v>7.1</v>
      </c>
      <c r="C25" s="5">
        <f>BH10</f>
        <v>2.1485254515973544</v>
      </c>
    </row>
    <row r="26" spans="1:52" ht="15.75" x14ac:dyDescent="0.25">
      <c r="A26" s="7" t="str">
        <f>B8</f>
        <v>Female</v>
      </c>
      <c r="B26" s="1">
        <f>BG8</f>
        <v>6.03</v>
      </c>
      <c r="C26" s="5">
        <f>BH11</f>
        <v>1.9251393757755868</v>
      </c>
      <c r="AM26" t="s">
        <v>33</v>
      </c>
      <c r="AN26">
        <f>AN24*2</f>
        <v>4.959192036090082E-7</v>
      </c>
      <c r="AO26" t="str">
        <f t="shared" ref="AO26" si="15">IF(AN26&gt;0.001,AN26,"p&lt; 0.001")</f>
        <v>p&lt; 0.001</v>
      </c>
    </row>
    <row r="28" spans="1:52" x14ac:dyDescent="0.25">
      <c r="A28" t="s">
        <v>37</v>
      </c>
      <c r="C28" s="1">
        <f>ABS(AY20)</f>
        <v>0.25755338417798485</v>
      </c>
    </row>
    <row r="30" spans="1:52" x14ac:dyDescent="0.25">
      <c r="D30" t="s">
        <v>30</v>
      </c>
      <c r="E30" t="s">
        <v>34</v>
      </c>
    </row>
    <row r="31" spans="1:52" x14ac:dyDescent="0.25">
      <c r="A31" t="s">
        <v>39</v>
      </c>
      <c r="C31" s="1">
        <f>AY21</f>
        <v>1.2455370526832192</v>
      </c>
      <c r="D31" t="str">
        <f>IF(C31&lt;AY23,"p &gt; 0.05","p&lt;0.05")</f>
        <v>p &gt; 0.05</v>
      </c>
      <c r="E31" t="str">
        <f>IF(C31&lt;AZ23,"p &gt; 0.05","p&lt;0.05")</f>
        <v>p &gt; 0.05</v>
      </c>
    </row>
    <row r="32" spans="1:52" x14ac:dyDescent="0.25">
      <c r="D32" t="str">
        <f>IF(C31&lt;AY24,"p &gt; 0.01","p&lt;0.01")</f>
        <v>p &gt; 0.01</v>
      </c>
      <c r="E32" t="str">
        <f>IF(C31&lt;AZ24,"p &gt; 0.01","p&lt;0.01")</f>
        <v>p &gt; 0.01</v>
      </c>
    </row>
  </sheetData>
  <mergeCells count="3">
    <mergeCell ref="B7:C7"/>
    <mergeCell ref="B8:C8"/>
    <mergeCell ref="A16:D1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L32"/>
  <sheetViews>
    <sheetView workbookViewId="0">
      <selection activeCell="D4" sqref="D4"/>
    </sheetView>
  </sheetViews>
  <sheetFormatPr defaultRowHeight="15" x14ac:dyDescent="0.25"/>
  <cols>
    <col min="3" max="3" width="8.5703125" customWidth="1"/>
    <col min="4" max="5" width="8.7109375" customWidth="1"/>
    <col min="6" max="6" width="8.85546875" customWidth="1"/>
    <col min="7" max="7" width="8.7109375" customWidth="1"/>
    <col min="8" max="8" width="8.5703125" customWidth="1"/>
    <col min="9" max="9" width="8.7109375" customWidth="1"/>
    <col min="25" max="25" width="12" bestFit="1" customWidth="1"/>
    <col min="29" max="29" width="9.5703125" bestFit="1" customWidth="1"/>
  </cols>
  <sheetData>
    <row r="2" spans="1:64" ht="15" customHeight="1" x14ac:dyDescent="0.25">
      <c r="B2" s="32"/>
      <c r="C2" s="16"/>
      <c r="D2" s="16"/>
      <c r="E2" s="16"/>
      <c r="F2" s="16"/>
      <c r="G2" s="16"/>
      <c r="H2" s="16"/>
      <c r="I2" s="16"/>
    </row>
    <row r="3" spans="1:64" x14ac:dyDescent="0.25">
      <c r="B3" s="16"/>
      <c r="C3" s="16"/>
      <c r="D3" s="16"/>
      <c r="E3" s="16"/>
      <c r="F3" s="16"/>
      <c r="G3" s="16"/>
      <c r="H3" s="16"/>
      <c r="I3" s="16"/>
    </row>
    <row r="4" spans="1:64" x14ac:dyDescent="0.25">
      <c r="AH4" t="s">
        <v>29</v>
      </c>
    </row>
    <row r="5" spans="1:64" ht="15.75" customHeight="1" thickBot="1" x14ac:dyDescent="0.3">
      <c r="S5" t="s">
        <v>71</v>
      </c>
    </row>
    <row r="6" spans="1:64" ht="19.5" thickBot="1" x14ac:dyDescent="0.3">
      <c r="C6" s="34"/>
      <c r="D6" s="2" t="s">
        <v>45</v>
      </c>
      <c r="E6" s="2" t="s">
        <v>51</v>
      </c>
      <c r="F6" s="2" t="s">
        <v>52</v>
      </c>
      <c r="G6" s="2" t="s">
        <v>46</v>
      </c>
      <c r="H6" s="2" t="s">
        <v>53</v>
      </c>
      <c r="I6" s="2" t="s">
        <v>63</v>
      </c>
      <c r="J6" s="2" t="s">
        <v>64</v>
      </c>
      <c r="K6" s="2" t="s">
        <v>65</v>
      </c>
      <c r="L6" s="2" t="s">
        <v>66</v>
      </c>
      <c r="M6" s="2" t="s">
        <v>67</v>
      </c>
      <c r="N6" s="2" t="s">
        <v>68</v>
      </c>
      <c r="P6" s="9" t="s">
        <v>7</v>
      </c>
      <c r="Q6" s="9"/>
      <c r="S6" t="str">
        <f>D6</f>
        <v>A</v>
      </c>
      <c r="T6" t="str">
        <f t="shared" ref="T6:AB6" si="0">E6</f>
        <v>B</v>
      </c>
      <c r="U6" t="str">
        <f t="shared" si="0"/>
        <v>C</v>
      </c>
      <c r="V6" t="str">
        <f t="shared" si="0"/>
        <v>D</v>
      </c>
      <c r="W6" t="str">
        <f t="shared" si="0"/>
        <v>E</v>
      </c>
      <c r="X6" t="str">
        <f t="shared" si="0"/>
        <v>F</v>
      </c>
      <c r="Y6" t="str">
        <f t="shared" si="0"/>
        <v>G</v>
      </c>
      <c r="Z6" t="str">
        <f t="shared" si="0"/>
        <v>H</v>
      </c>
      <c r="AA6" t="str">
        <f t="shared" si="0"/>
        <v>I</v>
      </c>
      <c r="AB6" t="str">
        <f t="shared" si="0"/>
        <v>J</v>
      </c>
      <c r="AC6" t="str">
        <f>N6</f>
        <v>K</v>
      </c>
      <c r="AI6" s="4" t="str">
        <f t="shared" ref="AI6:AS6" si="1">D6</f>
        <v>A</v>
      </c>
      <c r="AJ6" s="4" t="str">
        <f t="shared" si="1"/>
        <v>B</v>
      </c>
      <c r="AK6" s="4" t="str">
        <f t="shared" si="1"/>
        <v>C</v>
      </c>
      <c r="AL6" s="4" t="str">
        <f t="shared" si="1"/>
        <v>D</v>
      </c>
      <c r="AM6" s="4" t="str">
        <f t="shared" si="1"/>
        <v>E</v>
      </c>
      <c r="AN6" s="4" t="str">
        <f t="shared" si="1"/>
        <v>F</v>
      </c>
      <c r="AO6" s="4" t="str">
        <f t="shared" si="1"/>
        <v>G</v>
      </c>
      <c r="AP6" s="4" t="str">
        <f t="shared" si="1"/>
        <v>H</v>
      </c>
      <c r="AQ6" s="4" t="str">
        <f t="shared" si="1"/>
        <v>I</v>
      </c>
      <c r="AR6" s="4" t="str">
        <f t="shared" si="1"/>
        <v>J</v>
      </c>
      <c r="AS6" s="4" t="str">
        <f t="shared" si="1"/>
        <v>K</v>
      </c>
      <c r="AT6" s="4"/>
      <c r="AU6" s="2" t="s">
        <v>7</v>
      </c>
      <c r="AV6" s="4"/>
      <c r="AX6" s="4" t="str">
        <f t="shared" ref="AX6:BH6" si="2">D6</f>
        <v>A</v>
      </c>
      <c r="AY6" s="4" t="str">
        <f t="shared" si="2"/>
        <v>B</v>
      </c>
      <c r="AZ6" s="4" t="str">
        <f t="shared" si="2"/>
        <v>C</v>
      </c>
      <c r="BA6" s="4" t="str">
        <f t="shared" si="2"/>
        <v>D</v>
      </c>
      <c r="BB6" s="4" t="str">
        <f t="shared" si="2"/>
        <v>E</v>
      </c>
      <c r="BC6" s="4" t="str">
        <f t="shared" si="2"/>
        <v>F</v>
      </c>
      <c r="BD6" s="4" t="str">
        <f t="shared" si="2"/>
        <v>G</v>
      </c>
      <c r="BE6" s="4" t="str">
        <f t="shared" si="2"/>
        <v>H</v>
      </c>
      <c r="BF6" s="4" t="str">
        <f t="shared" si="2"/>
        <v>I</v>
      </c>
      <c r="BG6" s="4" t="str">
        <f t="shared" si="2"/>
        <v>J</v>
      </c>
      <c r="BH6" s="4" t="str">
        <f t="shared" si="2"/>
        <v>K</v>
      </c>
      <c r="BJ6" t="s">
        <v>9</v>
      </c>
    </row>
    <row r="7" spans="1:64" ht="19.5" thickBot="1" x14ac:dyDescent="0.3">
      <c r="B7" s="40" t="s">
        <v>79</v>
      </c>
      <c r="C7" s="41"/>
      <c r="D7" s="12">
        <v>8</v>
      </c>
      <c r="E7" s="12">
        <v>6</v>
      </c>
      <c r="F7" s="12">
        <v>5</v>
      </c>
      <c r="G7" s="12">
        <v>5</v>
      </c>
      <c r="H7" s="12">
        <v>14</v>
      </c>
      <c r="I7" s="12">
        <v>20</v>
      </c>
      <c r="J7" s="12">
        <v>2</v>
      </c>
      <c r="K7" s="12">
        <v>7</v>
      </c>
      <c r="L7" s="12">
        <v>7</v>
      </c>
      <c r="M7" s="12">
        <v>2</v>
      </c>
      <c r="N7" s="12">
        <v>0</v>
      </c>
      <c r="P7">
        <f>SUM(D7:N7)</f>
        <v>76</v>
      </c>
      <c r="R7" t="str">
        <f>B7</f>
        <v>Group 1</v>
      </c>
      <c r="S7" s="5">
        <f t="shared" ref="S7:AB8" si="3">(D7/$P7)*100</f>
        <v>10.526315789473683</v>
      </c>
      <c r="T7" s="5">
        <f t="shared" si="3"/>
        <v>7.8947368421052628</v>
      </c>
      <c r="U7" s="5">
        <f t="shared" si="3"/>
        <v>6.5789473684210522</v>
      </c>
      <c r="V7" s="5">
        <f t="shared" si="3"/>
        <v>6.5789473684210522</v>
      </c>
      <c r="W7" s="5">
        <f t="shared" si="3"/>
        <v>18.421052631578945</v>
      </c>
      <c r="X7" s="5">
        <f t="shared" si="3"/>
        <v>26.315789473684209</v>
      </c>
      <c r="Y7" s="5">
        <f t="shared" si="3"/>
        <v>2.6315789473684208</v>
      </c>
      <c r="Z7" s="5">
        <f t="shared" si="3"/>
        <v>9.2105263157894726</v>
      </c>
      <c r="AA7" s="5">
        <f t="shared" si="3"/>
        <v>9.2105263157894726</v>
      </c>
      <c r="AB7" s="5">
        <f t="shared" si="3"/>
        <v>2.6315789473684208</v>
      </c>
      <c r="AC7" s="5">
        <f>(N7/$P7)*100</f>
        <v>0</v>
      </c>
      <c r="AH7" t="str">
        <f>B7</f>
        <v>Group 1</v>
      </c>
      <c r="AI7">
        <f>D7</f>
        <v>8</v>
      </c>
      <c r="AJ7">
        <f t="shared" ref="AJ7:AS8" si="4">E7+AI7</f>
        <v>14</v>
      </c>
      <c r="AK7">
        <f t="shared" si="4"/>
        <v>19</v>
      </c>
      <c r="AL7">
        <f t="shared" si="4"/>
        <v>24</v>
      </c>
      <c r="AM7">
        <f t="shared" si="4"/>
        <v>38</v>
      </c>
      <c r="AN7">
        <f t="shared" si="4"/>
        <v>58</v>
      </c>
      <c r="AO7">
        <f t="shared" si="4"/>
        <v>60</v>
      </c>
      <c r="AP7">
        <f t="shared" si="4"/>
        <v>67</v>
      </c>
      <c r="AQ7">
        <f t="shared" si="4"/>
        <v>74</v>
      </c>
      <c r="AR7">
        <f t="shared" si="4"/>
        <v>76</v>
      </c>
      <c r="AS7">
        <f t="shared" si="4"/>
        <v>76</v>
      </c>
      <c r="AU7" s="3">
        <f>SUM(D7:N7)</f>
        <v>76</v>
      </c>
      <c r="AW7" t="str">
        <f>B7</f>
        <v>Group 1</v>
      </c>
      <c r="AX7">
        <f t="shared" ref="AX7:BH7" si="5">D7*D10</f>
        <v>88</v>
      </c>
      <c r="AY7">
        <f t="shared" si="5"/>
        <v>60</v>
      </c>
      <c r="AZ7">
        <f t="shared" si="5"/>
        <v>45</v>
      </c>
      <c r="BA7">
        <f t="shared" si="5"/>
        <v>40</v>
      </c>
      <c r="BB7">
        <f t="shared" si="5"/>
        <v>98</v>
      </c>
      <c r="BC7">
        <f t="shared" si="5"/>
        <v>120</v>
      </c>
      <c r="BD7">
        <f t="shared" si="5"/>
        <v>10</v>
      </c>
      <c r="BE7">
        <f t="shared" si="5"/>
        <v>28</v>
      </c>
      <c r="BF7">
        <f t="shared" si="5"/>
        <v>21</v>
      </c>
      <c r="BG7">
        <f t="shared" si="5"/>
        <v>4</v>
      </c>
      <c r="BH7">
        <f t="shared" si="5"/>
        <v>0</v>
      </c>
      <c r="BJ7">
        <f>SUM(AX7:BH7)/AU7</f>
        <v>6.7631578947368425</v>
      </c>
      <c r="BK7" t="s">
        <v>15</v>
      </c>
      <c r="BL7">
        <f>MAX(BJ7:BJ8)</f>
        <v>7.6413043478260869</v>
      </c>
    </row>
    <row r="8" spans="1:64" ht="19.5" thickBot="1" x14ac:dyDescent="0.3">
      <c r="B8" s="40" t="s">
        <v>80</v>
      </c>
      <c r="C8" s="41"/>
      <c r="D8" s="12">
        <v>12</v>
      </c>
      <c r="E8" s="12">
        <v>16</v>
      </c>
      <c r="F8" s="12">
        <v>12</v>
      </c>
      <c r="G8" s="12">
        <v>12</v>
      </c>
      <c r="H8" s="12">
        <v>14</v>
      </c>
      <c r="I8" s="12">
        <v>6</v>
      </c>
      <c r="J8" s="12">
        <v>5</v>
      </c>
      <c r="K8" s="12">
        <v>8</v>
      </c>
      <c r="L8" s="12">
        <v>3</v>
      </c>
      <c r="M8" s="12">
        <v>3</v>
      </c>
      <c r="N8" s="12">
        <v>1</v>
      </c>
      <c r="P8">
        <f>SUM(D8:N8)</f>
        <v>92</v>
      </c>
      <c r="R8" t="str">
        <f>B8</f>
        <v>Group 2</v>
      </c>
      <c r="S8" s="5">
        <f t="shared" si="3"/>
        <v>13.043478260869565</v>
      </c>
      <c r="T8" s="5">
        <f t="shared" si="3"/>
        <v>17.391304347826086</v>
      </c>
      <c r="U8" s="5">
        <f t="shared" si="3"/>
        <v>13.043478260869565</v>
      </c>
      <c r="V8" s="5">
        <f t="shared" si="3"/>
        <v>13.043478260869565</v>
      </c>
      <c r="W8" s="5">
        <f t="shared" si="3"/>
        <v>15.217391304347828</v>
      </c>
      <c r="X8" s="5">
        <f t="shared" si="3"/>
        <v>6.5217391304347823</v>
      </c>
      <c r="Y8" s="5">
        <f t="shared" si="3"/>
        <v>5.4347826086956523</v>
      </c>
      <c r="Z8" s="5">
        <f t="shared" si="3"/>
        <v>8.695652173913043</v>
      </c>
      <c r="AA8" s="5">
        <f t="shared" si="3"/>
        <v>3.2608695652173911</v>
      </c>
      <c r="AB8" s="5">
        <f t="shared" si="3"/>
        <v>3.2608695652173911</v>
      </c>
      <c r="AC8" s="5">
        <f>(N8/$P8)*100</f>
        <v>1.0869565217391304</v>
      </c>
      <c r="AH8" t="str">
        <f>B8</f>
        <v>Group 2</v>
      </c>
      <c r="AI8">
        <f>D8</f>
        <v>12</v>
      </c>
      <c r="AJ8">
        <f t="shared" si="4"/>
        <v>28</v>
      </c>
      <c r="AK8">
        <f t="shared" si="4"/>
        <v>40</v>
      </c>
      <c r="AL8">
        <f t="shared" si="4"/>
        <v>52</v>
      </c>
      <c r="AM8">
        <f t="shared" si="4"/>
        <v>66</v>
      </c>
      <c r="AN8">
        <f t="shared" si="4"/>
        <v>72</v>
      </c>
      <c r="AO8">
        <f t="shared" si="4"/>
        <v>77</v>
      </c>
      <c r="AP8">
        <f t="shared" si="4"/>
        <v>85</v>
      </c>
      <c r="AQ8">
        <f t="shared" si="4"/>
        <v>88</v>
      </c>
      <c r="AR8">
        <f t="shared" si="4"/>
        <v>91</v>
      </c>
      <c r="AS8">
        <f t="shared" si="4"/>
        <v>92</v>
      </c>
      <c r="AU8" s="3">
        <f>SUM(D8:N8)</f>
        <v>92</v>
      </c>
      <c r="AW8" t="str">
        <f>B8</f>
        <v>Group 2</v>
      </c>
      <c r="AX8">
        <f t="shared" ref="AX8:BH8" si="6">D8*D10</f>
        <v>132</v>
      </c>
      <c r="AY8">
        <f t="shared" si="6"/>
        <v>160</v>
      </c>
      <c r="AZ8">
        <f t="shared" si="6"/>
        <v>108</v>
      </c>
      <c r="BA8">
        <f t="shared" si="6"/>
        <v>96</v>
      </c>
      <c r="BB8">
        <f t="shared" si="6"/>
        <v>98</v>
      </c>
      <c r="BC8">
        <f t="shared" si="6"/>
        <v>36</v>
      </c>
      <c r="BD8">
        <f t="shared" si="6"/>
        <v>25</v>
      </c>
      <c r="BE8">
        <f t="shared" si="6"/>
        <v>32</v>
      </c>
      <c r="BF8">
        <f t="shared" si="6"/>
        <v>9</v>
      </c>
      <c r="BG8">
        <f t="shared" si="6"/>
        <v>6</v>
      </c>
      <c r="BH8">
        <f t="shared" si="6"/>
        <v>1</v>
      </c>
      <c r="BJ8">
        <f>SUM(AX8:BH8)/AU8</f>
        <v>7.6413043478260869</v>
      </c>
      <c r="BK8" t="s">
        <v>16</v>
      </c>
      <c r="BL8">
        <f>MIN(BJ7:BJ8)</f>
        <v>6.7631578947368425</v>
      </c>
    </row>
    <row r="9" spans="1:64" x14ac:dyDescent="0.25">
      <c r="AU9" t="s">
        <v>18</v>
      </c>
      <c r="BJ9" t="s">
        <v>10</v>
      </c>
      <c r="BK9" t="s">
        <v>11</v>
      </c>
    </row>
    <row r="10" spans="1:64" ht="18.75" x14ac:dyDescent="0.3">
      <c r="B10" s="8" t="s">
        <v>8</v>
      </c>
      <c r="D10" s="6">
        <v>11</v>
      </c>
      <c r="E10" s="6">
        <v>10</v>
      </c>
      <c r="F10" s="6">
        <v>9</v>
      </c>
      <c r="G10" s="6">
        <v>8</v>
      </c>
      <c r="H10" s="6">
        <v>7</v>
      </c>
      <c r="I10" s="6">
        <v>6</v>
      </c>
      <c r="J10" s="6">
        <v>5</v>
      </c>
      <c r="K10" s="6">
        <v>4</v>
      </c>
      <c r="L10" s="6">
        <v>3</v>
      </c>
      <c r="M10" s="6">
        <v>2</v>
      </c>
      <c r="N10" s="6">
        <v>1</v>
      </c>
      <c r="AH10" t="s">
        <v>17</v>
      </c>
      <c r="AI10">
        <f>ABS(AI7-AI8)</f>
        <v>4</v>
      </c>
      <c r="AJ10">
        <f t="shared" ref="AJ10" si="7">ABS(AJ7-AJ8)</f>
        <v>14</v>
      </c>
      <c r="AK10">
        <f t="shared" ref="AK10:AS10" si="8">ABS(AK7-AK8)</f>
        <v>21</v>
      </c>
      <c r="AL10">
        <f t="shared" si="8"/>
        <v>28</v>
      </c>
      <c r="AM10">
        <f t="shared" si="8"/>
        <v>28</v>
      </c>
      <c r="AN10">
        <f t="shared" si="8"/>
        <v>14</v>
      </c>
      <c r="AO10">
        <f t="shared" si="8"/>
        <v>17</v>
      </c>
      <c r="AP10">
        <f t="shared" si="8"/>
        <v>18</v>
      </c>
      <c r="AQ10">
        <f t="shared" si="8"/>
        <v>14</v>
      </c>
      <c r="AR10">
        <f t="shared" si="8"/>
        <v>15</v>
      </c>
      <c r="AS10">
        <f t="shared" si="8"/>
        <v>16</v>
      </c>
      <c r="AU10">
        <f>MAX(AI10:AS10)</f>
        <v>28</v>
      </c>
      <c r="AW10" t="str">
        <f>AW7</f>
        <v>Group 1</v>
      </c>
      <c r="AX10">
        <f t="shared" ref="AX10:BH10" si="9">((D10-$BJ7)^2)*D7</f>
        <v>143.60664819944597</v>
      </c>
      <c r="AY10">
        <f t="shared" si="9"/>
        <v>62.862880886426581</v>
      </c>
      <c r="AZ10">
        <f t="shared" si="9"/>
        <v>25.017313019390571</v>
      </c>
      <c r="BA10">
        <f t="shared" si="9"/>
        <v>7.6488919667589981</v>
      </c>
      <c r="BB10">
        <f t="shared" si="9"/>
        <v>0.7853185595567842</v>
      </c>
      <c r="BC10">
        <f t="shared" si="9"/>
        <v>11.648199445983391</v>
      </c>
      <c r="BD10">
        <f t="shared" si="9"/>
        <v>6.2174515235457086</v>
      </c>
      <c r="BE10">
        <f t="shared" si="9"/>
        <v>53.445290858725777</v>
      </c>
      <c r="BF10">
        <f t="shared" si="9"/>
        <v>99.129501385041564</v>
      </c>
      <c r="BG10">
        <f t="shared" si="9"/>
        <v>45.375346260387822</v>
      </c>
      <c r="BH10">
        <f t="shared" si="9"/>
        <v>0</v>
      </c>
      <c r="BJ10">
        <f>(SUM(AX10:BH10))/(AU7-1)</f>
        <v>6.0764912280701759</v>
      </c>
      <c r="BK10" s="5">
        <f>BJ10^0.5</f>
        <v>2.4650540010454489</v>
      </c>
    </row>
    <row r="11" spans="1:64" x14ac:dyDescent="0.25">
      <c r="AW11" t="str">
        <f>AW8</f>
        <v>Group 2</v>
      </c>
      <c r="AX11">
        <f t="shared" ref="AX11:BH11" si="10">((D10-$BJ8)^2)*D8</f>
        <v>135.37003780718337</v>
      </c>
      <c r="AY11">
        <f t="shared" si="10"/>
        <v>89.015122873345945</v>
      </c>
      <c r="AZ11">
        <f t="shared" si="10"/>
        <v>22.152646502835537</v>
      </c>
      <c r="BA11">
        <f t="shared" si="10"/>
        <v>1.543950850661626</v>
      </c>
      <c r="BB11">
        <f t="shared" si="10"/>
        <v>5.7577977315689974</v>
      </c>
      <c r="BC11">
        <f t="shared" si="10"/>
        <v>16.163279773156898</v>
      </c>
      <c r="BD11">
        <f t="shared" si="10"/>
        <v>34.882443289224952</v>
      </c>
      <c r="BE11">
        <f t="shared" si="10"/>
        <v>106.07277882797732</v>
      </c>
      <c r="BF11">
        <f t="shared" si="10"/>
        <v>64.625118147448006</v>
      </c>
      <c r="BG11">
        <f t="shared" si="10"/>
        <v>95.472944234404537</v>
      </c>
      <c r="BH11">
        <f t="shared" si="10"/>
        <v>44.106923440453684</v>
      </c>
      <c r="BJ11">
        <f>(SUM(AX11:BH11))/(AU8-1)</f>
        <v>6.7600334448160533</v>
      </c>
      <c r="BK11" s="5">
        <f>BJ11^0.5</f>
        <v>2.6000064316874396</v>
      </c>
    </row>
    <row r="12" spans="1:64" ht="17.25" customHeight="1" x14ac:dyDescent="0.25">
      <c r="A12" s="17"/>
      <c r="B12" s="17"/>
      <c r="C12" s="14" t="s">
        <v>19</v>
      </c>
      <c r="D12" s="14">
        <f>IF(AU7=AU8,AU10,AU16)</f>
        <v>0.24942791762013727</v>
      </c>
      <c r="E12" s="16"/>
      <c r="G12" t="s">
        <v>60</v>
      </c>
      <c r="I12" t="s">
        <v>62</v>
      </c>
      <c r="J12" s="16"/>
      <c r="K12" s="16"/>
      <c r="AI12" s="4"/>
      <c r="AJ12" s="4"/>
      <c r="AK12" s="4"/>
      <c r="AL12" s="4"/>
      <c r="AM12" s="4"/>
      <c r="AN12" s="4"/>
      <c r="AO12" s="4"/>
      <c r="AP12" s="4"/>
      <c r="AQ12" s="4"/>
      <c r="AR12" s="4"/>
      <c r="AS12" s="4"/>
    </row>
    <row r="13" spans="1:64" ht="15" customHeight="1" x14ac:dyDescent="0.25">
      <c r="A13" s="17"/>
      <c r="B13" s="17"/>
      <c r="G13" t="s">
        <v>59</v>
      </c>
      <c r="H13" s="1">
        <f>IF(MIN(AU7:AU8)&gt;39,AP19,"na")</f>
        <v>0.21081079178104264</v>
      </c>
      <c r="I13" s="22" t="str">
        <f>IF(MIN(AU7:AU8)&gt;39,AQ19,"na")</f>
        <v>Yes</v>
      </c>
      <c r="J13" s="16"/>
      <c r="K13" s="16"/>
      <c r="L13" s="16" t="s">
        <v>30</v>
      </c>
      <c r="M13" s="31">
        <f>IF(AO26&lt;1,AP26,1)</f>
        <v>1.1271797267646081E-2</v>
      </c>
      <c r="AH13" t="str">
        <f>B7</f>
        <v>Group 1</v>
      </c>
      <c r="AI13">
        <f t="shared" ref="AI13:AS13" si="11">AI7/$AU7</f>
        <v>0.10526315789473684</v>
      </c>
      <c r="AJ13">
        <f t="shared" si="11"/>
        <v>0.18421052631578946</v>
      </c>
      <c r="AK13">
        <f t="shared" si="11"/>
        <v>0.25</v>
      </c>
      <c r="AL13">
        <f t="shared" si="11"/>
        <v>0.31578947368421051</v>
      </c>
      <c r="AM13">
        <f t="shared" si="11"/>
        <v>0.5</v>
      </c>
      <c r="AN13">
        <f t="shared" si="11"/>
        <v>0.76315789473684215</v>
      </c>
      <c r="AO13">
        <f t="shared" si="11"/>
        <v>0.78947368421052633</v>
      </c>
      <c r="AP13">
        <f t="shared" si="11"/>
        <v>0.88157894736842102</v>
      </c>
      <c r="AQ13">
        <f t="shared" si="11"/>
        <v>0.97368421052631582</v>
      </c>
      <c r="AR13">
        <f t="shared" si="11"/>
        <v>1</v>
      </c>
      <c r="AS13">
        <f t="shared" si="11"/>
        <v>1</v>
      </c>
      <c r="BD13" t="s">
        <v>12</v>
      </c>
      <c r="BE13">
        <f>BL7-BL8</f>
        <v>0.87814645308924444</v>
      </c>
    </row>
    <row r="14" spans="1:64" ht="18.75" x14ac:dyDescent="0.3">
      <c r="A14" s="8" t="s">
        <v>20</v>
      </c>
      <c r="B14" s="8"/>
      <c r="C14" s="8" t="s">
        <v>21</v>
      </c>
      <c r="D14" s="21" t="str">
        <f>IF(AU7=AU8,D12/((AU7+AU8)/2),"Use Dmax")</f>
        <v>Use Dmax</v>
      </c>
      <c r="G14" t="s">
        <v>61</v>
      </c>
      <c r="H14" s="1">
        <f>IF(MIN(AU7:AU8)&gt;39,AP20,"na")</f>
        <v>0.25266293426698488</v>
      </c>
      <c r="I14" s="22" t="str">
        <f>IF(MIN(AU7:AU8)&gt;39,AQ20,"na")</f>
        <v>No</v>
      </c>
      <c r="J14" s="16"/>
      <c r="K14" s="16"/>
      <c r="L14" t="s">
        <v>34</v>
      </c>
      <c r="M14" s="1">
        <f>AP24</f>
        <v>5.6358986338230404E-3</v>
      </c>
      <c r="AH14" t="str">
        <f>B8</f>
        <v>Group 2</v>
      </c>
      <c r="AI14">
        <f t="shared" ref="AI14:AS14" si="12">AI8/$AU8</f>
        <v>0.13043478260869565</v>
      </c>
      <c r="AJ14">
        <f t="shared" si="12"/>
        <v>0.30434782608695654</v>
      </c>
      <c r="AK14">
        <f t="shared" si="12"/>
        <v>0.43478260869565216</v>
      </c>
      <c r="AL14">
        <f t="shared" si="12"/>
        <v>0.56521739130434778</v>
      </c>
      <c r="AM14">
        <f t="shared" si="12"/>
        <v>0.71739130434782605</v>
      </c>
      <c r="AN14">
        <f t="shared" si="12"/>
        <v>0.78260869565217395</v>
      </c>
      <c r="AO14">
        <f t="shared" si="12"/>
        <v>0.83695652173913049</v>
      </c>
      <c r="AP14">
        <f t="shared" si="12"/>
        <v>0.92391304347826086</v>
      </c>
      <c r="AQ14">
        <f t="shared" si="12"/>
        <v>0.95652173913043481</v>
      </c>
      <c r="AR14">
        <f t="shared" si="12"/>
        <v>0.98913043478260865</v>
      </c>
      <c r="AS14">
        <f t="shared" si="12"/>
        <v>1</v>
      </c>
      <c r="BD14" t="s">
        <v>13</v>
      </c>
      <c r="BE14">
        <f>((BJ10/AU7)+(BJ11/AU8))^0.5</f>
        <v>0.39170455237138402</v>
      </c>
    </row>
    <row r="15" spans="1:64" ht="18.75" x14ac:dyDescent="0.3">
      <c r="A15" s="8"/>
      <c r="B15" s="8"/>
      <c r="C15" s="8"/>
      <c r="D15" s="8"/>
      <c r="G15" t="s">
        <v>73</v>
      </c>
      <c r="H15" s="1">
        <f>IF(MIN(AU7:AU8)&gt;39,AP21,"na")</f>
        <v>0.30226547350958316</v>
      </c>
      <c r="I15" s="22" t="str">
        <f>IF(MIN(AU7:AU8)&gt;39,AQ21,"na")</f>
        <v>No</v>
      </c>
      <c r="AU15" t="s">
        <v>18</v>
      </c>
      <c r="BD15" t="s">
        <v>14</v>
      </c>
      <c r="BE15" s="15">
        <f>BE13/BE14</f>
        <v>2.2418591966137114</v>
      </c>
    </row>
    <row r="16" spans="1:64" x14ac:dyDescent="0.25">
      <c r="A16" s="37" t="str">
        <f>IF(MIN(AU7:AU8)&lt;50,"Your samples may be a bit too small to trust the results of a t-test","Your samples are large so you may choose to use parametric tests like the t-test and F ratio")</f>
        <v>Your samples are large so you may choose to use parametric tests like the t-test and F ratio</v>
      </c>
      <c r="B16" s="37"/>
      <c r="C16" s="37"/>
      <c r="D16" s="37"/>
      <c r="AH16" t="s">
        <v>17</v>
      </c>
      <c r="AI16">
        <f>ABS(AI13-AI14)</f>
        <v>2.5171624713958812E-2</v>
      </c>
      <c r="AJ16">
        <f t="shared" ref="AJ16" si="13">ABS(AJ13-AJ14)</f>
        <v>0.12013729977116708</v>
      </c>
      <c r="AK16">
        <f t="shared" ref="AK16:AS16" si="14">ABS(AK13-AK14)</f>
        <v>0.18478260869565216</v>
      </c>
      <c r="AL16">
        <f t="shared" si="14"/>
        <v>0.24942791762013727</v>
      </c>
      <c r="AM16">
        <f t="shared" si="14"/>
        <v>0.21739130434782605</v>
      </c>
      <c r="AN16">
        <f t="shared" si="14"/>
        <v>1.9450800915331801E-2</v>
      </c>
      <c r="AO16">
        <f t="shared" si="14"/>
        <v>4.748283752860416E-2</v>
      </c>
      <c r="AP16">
        <f t="shared" si="14"/>
        <v>4.2334096109839847E-2</v>
      </c>
      <c r="AQ16">
        <f t="shared" si="14"/>
        <v>1.7162471395881007E-2</v>
      </c>
      <c r="AR16">
        <f t="shared" si="14"/>
        <v>1.0869565217391353E-2</v>
      </c>
      <c r="AS16">
        <f t="shared" si="14"/>
        <v>0</v>
      </c>
      <c r="AU16">
        <f>MAX(AI16:AS16)</f>
        <v>0.24942791762013727</v>
      </c>
      <c r="BD16" t="s">
        <v>0</v>
      </c>
      <c r="BE16">
        <f>AU7+AU8-2</f>
        <v>166</v>
      </c>
    </row>
    <row r="17" spans="1:53" x14ac:dyDescent="0.25">
      <c r="A17" s="37"/>
      <c r="B17" s="37"/>
      <c r="C17" s="37"/>
      <c r="D17" s="37"/>
      <c r="AY17" t="s">
        <v>30</v>
      </c>
      <c r="AZ17">
        <f>_xlfn.T.DIST.2T(BE15,BE16)</f>
        <v>2.6295293399183156E-2</v>
      </c>
      <c r="BA17">
        <f>IF(AZ17&gt;0.001,AZ17,"p&lt;0.001")</f>
        <v>2.6295293399183156E-2</v>
      </c>
    </row>
    <row r="18" spans="1:53" x14ac:dyDescent="0.25">
      <c r="A18" s="37"/>
      <c r="B18" s="37"/>
      <c r="C18" s="37"/>
      <c r="D18" s="37"/>
      <c r="AN18" t="s">
        <v>25</v>
      </c>
      <c r="AP18">
        <f>((AU7+AU8)/(AU7*AU8))^0.5</f>
        <v>0.15500793513311958</v>
      </c>
      <c r="AY18" t="s">
        <v>34</v>
      </c>
      <c r="AZ18">
        <f>AZ17/2</f>
        <v>1.3147646699591578E-2</v>
      </c>
      <c r="BA18">
        <f>IF(AZ18&gt;0.001,AZ18,"p&lt;0.001")</f>
        <v>1.3147646699591578E-2</v>
      </c>
    </row>
    <row r="19" spans="1:53" x14ac:dyDescent="0.25">
      <c r="AN19">
        <v>0.05</v>
      </c>
      <c r="AO19">
        <v>1.36</v>
      </c>
      <c r="AP19">
        <f>AO19*AP18</f>
        <v>0.21081079178104264</v>
      </c>
      <c r="AQ19" t="str">
        <f>IF(AU16&gt;AP19,"Yes","No")</f>
        <v>Yes</v>
      </c>
      <c r="AY19" t="s">
        <v>35</v>
      </c>
      <c r="AZ19">
        <f>_xlfn.NORM.S.INV(AZ18)</f>
        <v>-2.2218226499115423</v>
      </c>
    </row>
    <row r="20" spans="1:53" ht="18.75" x14ac:dyDescent="0.3">
      <c r="A20" s="10" t="s">
        <v>22</v>
      </c>
      <c r="B20" s="10"/>
      <c r="C20" s="8" t="s">
        <v>26</v>
      </c>
      <c r="D20" s="21">
        <f>IF(MIN(AU7:AU8)&gt;24,BE15,"na")</f>
        <v>2.2418591966137114</v>
      </c>
      <c r="AN20">
        <v>0.01</v>
      </c>
      <c r="AO20">
        <v>1.63</v>
      </c>
      <c r="AP20">
        <f>AO20*AP18</f>
        <v>0.25266293426698488</v>
      </c>
      <c r="AQ20" t="str">
        <f>IF(AU16&gt;AP20,"Yes","No")</f>
        <v>No</v>
      </c>
      <c r="AY20" t="s">
        <v>36</v>
      </c>
      <c r="AZ20">
        <f>AZ19/((AU7+AU8)^0.5)</f>
        <v>-0.17141733895150157</v>
      </c>
    </row>
    <row r="21" spans="1:53" ht="18.75" x14ac:dyDescent="0.3">
      <c r="A21" s="10"/>
      <c r="B21" s="10" t="s">
        <v>23</v>
      </c>
      <c r="C21" s="8" t="s">
        <v>25</v>
      </c>
      <c r="D21" s="21">
        <f>IF(MIN(AU7:AU8)&gt;24,BA17,"na")</f>
        <v>2.6295293399183156E-2</v>
      </c>
      <c r="AN21">
        <v>1E-3</v>
      </c>
      <c r="AO21">
        <v>1.95</v>
      </c>
      <c r="AP21">
        <f>AO21*AP18</f>
        <v>0.30226547350958316</v>
      </c>
      <c r="AQ21" t="str">
        <f>IF(AU16&gt;AP21,"Yes","No")</f>
        <v>No</v>
      </c>
      <c r="AY21" t="s">
        <v>38</v>
      </c>
      <c r="AZ21">
        <f>(MAX(BJ10:BJ11))/(MIN(BJ10:BJ11))</f>
        <v>1.1124896245366527</v>
      </c>
    </row>
    <row r="22" spans="1:53" ht="18.75" x14ac:dyDescent="0.3">
      <c r="A22" s="10"/>
      <c r="B22" s="10" t="s">
        <v>24</v>
      </c>
      <c r="C22" s="8" t="s">
        <v>25</v>
      </c>
      <c r="D22" s="21">
        <f>IF(MIN(AU7:AU8)&gt;24,BA18,"na")</f>
        <v>1.3147646699591578E-2</v>
      </c>
      <c r="AZ22" t="s">
        <v>42</v>
      </c>
      <c r="BA22" t="s">
        <v>43</v>
      </c>
    </row>
    <row r="23" spans="1:53" x14ac:dyDescent="0.25">
      <c r="AN23" t="s">
        <v>31</v>
      </c>
      <c r="AO23">
        <f>(4*(AU16^2))</f>
        <v>0.24885714435327194</v>
      </c>
      <c r="AP23">
        <f>(AU7*AU8)/(AU7+AU8)</f>
        <v>41.61904761904762</v>
      </c>
      <c r="AQ23">
        <f>AO23*AP23</f>
        <v>10.357197341179033</v>
      </c>
      <c r="AY23" t="s">
        <v>40</v>
      </c>
      <c r="AZ23">
        <f>_xlfn.F.INV.RT(0.025,MAX(AU7:AU8)-1,MIN(AU7:AU8)-1)</f>
        <v>1.5526010950266675</v>
      </c>
      <c r="BA23">
        <f>_xlfn.F.INV.RT(0.05,MAX(AU7:AU8)-1,MIN(AU7:AU8)-1)</f>
        <v>1.4457354955823805</v>
      </c>
    </row>
    <row r="24" spans="1:53" ht="15.75" x14ac:dyDescent="0.25">
      <c r="B24" s="7" t="s">
        <v>27</v>
      </c>
      <c r="C24" s="7" t="s">
        <v>28</v>
      </c>
      <c r="AN24" t="s">
        <v>32</v>
      </c>
      <c r="AO24">
        <f>_xlfn.CHISQ.DIST.RT(AQ23,2)</f>
        <v>5.6358986338230404E-3</v>
      </c>
      <c r="AP24">
        <f>IF(AO24&gt;0.001,AO24,"p&lt; 0.001")</f>
        <v>5.6358986338230404E-3</v>
      </c>
      <c r="AY24" t="s">
        <v>41</v>
      </c>
      <c r="AZ24">
        <f>_xlfn.F.INV.RT(0.005,MAX(AU7:AU8)-1,MIN(AU7:AU8)-1)</f>
        <v>1.7870736729388756</v>
      </c>
      <c r="BA24">
        <f>_xlfn.F.INV.RT(0.01,MAX(AU7:AU8)-1,MIN(AU7:AU8)-1)</f>
        <v>1.6877346137296985</v>
      </c>
    </row>
    <row r="25" spans="1:53" ht="15.75" x14ac:dyDescent="0.25">
      <c r="A25" s="7" t="str">
        <f>B7</f>
        <v>Group 1</v>
      </c>
      <c r="B25" s="1">
        <f>BJ7</f>
        <v>6.7631578947368425</v>
      </c>
      <c r="C25" s="5">
        <f>BK10</f>
        <v>2.4650540010454489</v>
      </c>
    </row>
    <row r="26" spans="1:53" ht="15.75" x14ac:dyDescent="0.25">
      <c r="A26" s="7" t="str">
        <f>B8</f>
        <v>Group 2</v>
      </c>
      <c r="B26" s="1">
        <f>BJ8</f>
        <v>7.6413043478260869</v>
      </c>
      <c r="C26" s="5">
        <f>BK11</f>
        <v>2.6000064316874396</v>
      </c>
      <c r="AN26" t="s">
        <v>33</v>
      </c>
      <c r="AO26">
        <f>AO24*2</f>
        <v>1.1271797267646081E-2</v>
      </c>
      <c r="AP26">
        <f t="shared" ref="AP26" si="15">IF(AO26&gt;0.001,AO26,"p&lt; 0.001")</f>
        <v>1.1271797267646081E-2</v>
      </c>
    </row>
    <row r="28" spans="1:53" x14ac:dyDescent="0.25">
      <c r="A28" t="s">
        <v>37</v>
      </c>
      <c r="C28" s="1">
        <f>ABS(AZ20)</f>
        <v>0.17141733895150157</v>
      </c>
    </row>
    <row r="30" spans="1:53" x14ac:dyDescent="0.25">
      <c r="D30" t="s">
        <v>30</v>
      </c>
      <c r="E30" t="s">
        <v>34</v>
      </c>
    </row>
    <row r="31" spans="1:53" x14ac:dyDescent="0.25">
      <c r="A31" t="s">
        <v>39</v>
      </c>
      <c r="C31" s="33">
        <f>AZ21</f>
        <v>1.1124896245366527</v>
      </c>
      <c r="D31" t="str">
        <f>IF(C31&lt;AZ23,"p &gt; 0.05","p&lt;0.05")</f>
        <v>p &gt; 0.05</v>
      </c>
      <c r="E31" t="str">
        <f>IF(C31&lt;BA23,"p &gt; 0.05","p&lt;0.05")</f>
        <v>p &gt; 0.05</v>
      </c>
    </row>
    <row r="32" spans="1:53" x14ac:dyDescent="0.25">
      <c r="D32" t="str">
        <f>IF(C31&lt;AZ24,"p &gt; 0.01","p&lt;0.01")</f>
        <v>p &gt; 0.01</v>
      </c>
      <c r="E32" t="str">
        <f>IF(C31&lt;BA24,"p &gt; 0.01","p&lt;0.01")</f>
        <v>p &gt; 0.01</v>
      </c>
    </row>
  </sheetData>
  <mergeCells count="3">
    <mergeCell ref="B7:C7"/>
    <mergeCell ref="B8:C8"/>
    <mergeCell ref="A16:D1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3 categories</vt:lpstr>
      <vt:lpstr>4 categories</vt:lpstr>
      <vt:lpstr>5 categories</vt:lpstr>
      <vt:lpstr>6 categories with explanation</vt:lpstr>
      <vt:lpstr>7 categories</vt:lpstr>
      <vt:lpstr>8 categories</vt:lpstr>
      <vt:lpstr>9 categories</vt:lpstr>
      <vt:lpstr>10 categories</vt:lpstr>
      <vt:lpstr>11 categories</vt:lpstr>
      <vt:lpstr>12 categories</vt:lpstr>
      <vt:lpstr>Sheet1</vt:lpstr>
      <vt:lpstr>Sheet3</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McCarroll</dc:creator>
  <cp:lastModifiedBy>Installer</cp:lastModifiedBy>
  <dcterms:created xsi:type="dcterms:W3CDTF">2016-02-13T11:32:15Z</dcterms:created>
  <dcterms:modified xsi:type="dcterms:W3CDTF">2017-01-20T15:30:56Z</dcterms:modified>
</cp:coreProperties>
</file>