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7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9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0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3 categories" sheetId="12" r:id="rId1"/>
    <sheet name="4 categories" sheetId="11" r:id="rId2"/>
    <sheet name="5 categories" sheetId="7" r:id="rId3"/>
    <sheet name="6 categories" sheetId="2" r:id="rId4"/>
    <sheet name="7 categories" sheetId="6" r:id="rId5"/>
    <sheet name="8 categories" sheetId="8" r:id="rId6"/>
    <sheet name="9 categories" sheetId="9" r:id="rId7"/>
    <sheet name="10 categories" sheetId="10" r:id="rId8"/>
    <sheet name="11 categories" sheetId="13" r:id="rId9"/>
    <sheet name="12 categories" sheetId="14" r:id="rId10"/>
    <sheet name="Sheet1" sheetId="1" r:id="rId11"/>
    <sheet name="Sheet3" sheetId="3" r:id="rId12"/>
    <sheet name="Sheet2" sheetId="4" r:id="rId1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2" l="1"/>
  <c r="M8" i="12"/>
  <c r="N8" i="12"/>
  <c r="M7" i="12"/>
  <c r="N7" i="12"/>
  <c r="L7" i="12"/>
  <c r="K8" i="12"/>
  <c r="K7" i="12"/>
  <c r="M6" i="12"/>
  <c r="N6" i="12"/>
  <c r="L6" i="12"/>
  <c r="K8" i="11"/>
  <c r="K7" i="11"/>
  <c r="M6" i="11"/>
  <c r="N6" i="11"/>
  <c r="O6" i="11"/>
  <c r="L6" i="11"/>
  <c r="N8" i="2"/>
  <c r="O8" i="2"/>
  <c r="P8" i="2"/>
  <c r="Q8" i="2"/>
  <c r="R8" i="2"/>
  <c r="S8" i="2"/>
  <c r="O7" i="2"/>
  <c r="P7" i="2"/>
  <c r="Q7" i="2"/>
  <c r="R7" i="2"/>
  <c r="S7" i="2"/>
  <c r="N7" i="2"/>
  <c r="Q6" i="2"/>
  <c r="R6" i="2"/>
  <c r="S6" i="2"/>
  <c r="O6" i="2"/>
  <c r="P6" i="2"/>
  <c r="M8" i="2"/>
  <c r="M7" i="2"/>
  <c r="N6" i="2"/>
  <c r="AF11" i="7"/>
  <c r="M10" i="7"/>
  <c r="N10" i="7"/>
  <c r="O10" i="7"/>
  <c r="P10" i="7"/>
  <c r="L10" i="7"/>
  <c r="AR6" i="14" l="1"/>
  <c r="AS6" i="14"/>
  <c r="AT6" i="14"/>
  <c r="AR7" i="14"/>
  <c r="AS7" i="14"/>
  <c r="AT7" i="14"/>
  <c r="AR8" i="14"/>
  <c r="AS8" i="14"/>
  <c r="AT8" i="14"/>
  <c r="AB6" i="14"/>
  <c r="AC6" i="14"/>
  <c r="AD6" i="14"/>
  <c r="A26" i="14"/>
  <c r="A25" i="14"/>
  <c r="R14" i="14"/>
  <c r="R13" i="14"/>
  <c r="AQ8" i="14"/>
  <c r="AP8" i="14"/>
  <c r="AO8" i="14"/>
  <c r="AN8" i="14"/>
  <c r="AM8" i="14"/>
  <c r="AL8" i="14"/>
  <c r="AK8" i="14"/>
  <c r="AJ8" i="14"/>
  <c r="AI8" i="14"/>
  <c r="AH8" i="14"/>
  <c r="AH11" i="14" s="1"/>
  <c r="AF8" i="14"/>
  <c r="S8" i="14"/>
  <c r="R8" i="14"/>
  <c r="Q8" i="14"/>
  <c r="AQ7" i="14"/>
  <c r="AP7" i="14"/>
  <c r="AO7" i="14"/>
  <c r="AN7" i="14"/>
  <c r="AM7" i="14"/>
  <c r="AL7" i="14"/>
  <c r="AK7" i="14"/>
  <c r="AJ7" i="14"/>
  <c r="AI7" i="14"/>
  <c r="AH7" i="14"/>
  <c r="AH10" i="14" s="1"/>
  <c r="AF7" i="14"/>
  <c r="S7" i="14"/>
  <c r="R7" i="14"/>
  <c r="Q7" i="14"/>
  <c r="AQ6" i="14"/>
  <c r="AP6" i="14"/>
  <c r="AO6" i="14"/>
  <c r="AN6" i="14"/>
  <c r="AM6" i="14"/>
  <c r="AL6" i="14"/>
  <c r="AK6" i="14"/>
  <c r="AJ6" i="14"/>
  <c r="AI6" i="14"/>
  <c r="AA6" i="14"/>
  <c r="Z6" i="14"/>
  <c r="Y6" i="14"/>
  <c r="X6" i="14"/>
  <c r="W6" i="14"/>
  <c r="V6" i="14"/>
  <c r="U6" i="14"/>
  <c r="T6" i="14"/>
  <c r="S6" i="14"/>
  <c r="U6" i="13"/>
  <c r="O12" i="13"/>
  <c r="AA19" i="13"/>
  <c r="Z19" i="13"/>
  <c r="AJ6" i="13"/>
  <c r="AK6" i="13"/>
  <c r="AL6" i="13"/>
  <c r="AM6" i="13"/>
  <c r="AN6" i="13"/>
  <c r="AO6" i="13"/>
  <c r="AP6" i="13"/>
  <c r="AQ6" i="13"/>
  <c r="AR6" i="13"/>
  <c r="AJ7" i="13"/>
  <c r="AK7" i="13"/>
  <c r="AL7" i="13"/>
  <c r="AM7" i="13"/>
  <c r="AN7" i="13"/>
  <c r="AO7" i="13"/>
  <c r="AP7" i="13"/>
  <c r="AQ7" i="13"/>
  <c r="AR7" i="13"/>
  <c r="AJ8" i="13"/>
  <c r="AK8" i="13"/>
  <c r="AL8" i="13"/>
  <c r="AM8" i="13"/>
  <c r="AN8" i="13"/>
  <c r="AO8" i="13"/>
  <c r="AP8" i="13"/>
  <c r="AQ8" i="13"/>
  <c r="AR8" i="13"/>
  <c r="V6" i="13"/>
  <c r="W6" i="13"/>
  <c r="X6" i="13"/>
  <c r="Y6" i="13"/>
  <c r="Z6" i="13"/>
  <c r="AA6" i="13"/>
  <c r="AB6" i="13"/>
  <c r="AC6" i="13"/>
  <c r="A26" i="13"/>
  <c r="A25" i="13"/>
  <c r="R14" i="13"/>
  <c r="R13" i="13"/>
  <c r="AI8" i="13"/>
  <c r="AH8" i="13"/>
  <c r="AG8" i="13"/>
  <c r="AG11" i="13" s="1"/>
  <c r="AE8" i="13"/>
  <c r="S8" i="13"/>
  <c r="R8" i="13"/>
  <c r="P8" i="13"/>
  <c r="AI7" i="13"/>
  <c r="AH7" i="13"/>
  <c r="AG7" i="13"/>
  <c r="AG10" i="13" s="1"/>
  <c r="AE7" i="13"/>
  <c r="S7" i="13"/>
  <c r="R7" i="13"/>
  <c r="P7" i="13"/>
  <c r="AI6" i="13"/>
  <c r="AH6" i="13"/>
  <c r="T6" i="13"/>
  <c r="S6" i="13"/>
  <c r="O12" i="6"/>
  <c r="A26" i="12"/>
  <c r="A25" i="12"/>
  <c r="R14" i="12"/>
  <c r="R13" i="12"/>
  <c r="AD8" i="12"/>
  <c r="AC8" i="12"/>
  <c r="AB8" i="12"/>
  <c r="AA8" i="12"/>
  <c r="AA11" i="12" s="1"/>
  <c r="Y8" i="12"/>
  <c r="S8" i="12"/>
  <c r="R8" i="12"/>
  <c r="I8" i="12"/>
  <c r="AD7" i="12"/>
  <c r="AC7" i="12"/>
  <c r="AB7" i="12"/>
  <c r="AA7" i="12"/>
  <c r="AA10" i="12" s="1"/>
  <c r="Y7" i="12"/>
  <c r="AL24" i="12" s="1"/>
  <c r="S7" i="12"/>
  <c r="R7" i="12"/>
  <c r="I7" i="12"/>
  <c r="AD6" i="12"/>
  <c r="AC6" i="12"/>
  <c r="AB6" i="12"/>
  <c r="U6" i="12"/>
  <c r="T6" i="12"/>
  <c r="S6" i="12"/>
  <c r="AD7" i="11"/>
  <c r="AE7" i="11"/>
  <c r="AD8" i="11"/>
  <c r="AE8" i="11"/>
  <c r="U6" i="11"/>
  <c r="V6" i="11"/>
  <c r="A26" i="11"/>
  <c r="A25" i="11"/>
  <c r="R14" i="11"/>
  <c r="R13" i="11"/>
  <c r="AC8" i="11"/>
  <c r="AB8" i="11"/>
  <c r="AA8" i="11"/>
  <c r="AA11" i="11" s="1"/>
  <c r="Y8" i="11"/>
  <c r="S8" i="11"/>
  <c r="T8" i="11" s="1"/>
  <c r="U8" i="11" s="1"/>
  <c r="R8" i="11"/>
  <c r="I8" i="11"/>
  <c r="AC7" i="11"/>
  <c r="AB7" i="11"/>
  <c r="AA7" i="11"/>
  <c r="AA10" i="11" s="1"/>
  <c r="Y7" i="11"/>
  <c r="S7" i="11"/>
  <c r="R7" i="11"/>
  <c r="I7" i="11"/>
  <c r="AE6" i="11"/>
  <c r="AD6" i="11"/>
  <c r="AC6" i="11"/>
  <c r="AB6" i="11"/>
  <c r="T6" i="11"/>
  <c r="S6" i="11"/>
  <c r="AJ6" i="10"/>
  <c r="AK6" i="10"/>
  <c r="AL6" i="10"/>
  <c r="AM6" i="10"/>
  <c r="AN6" i="10"/>
  <c r="AO6" i="10"/>
  <c r="AP6" i="10"/>
  <c r="AJ7" i="10"/>
  <c r="AK7" i="10"/>
  <c r="AL7" i="10"/>
  <c r="AM7" i="10"/>
  <c r="AN7" i="10"/>
  <c r="AO7" i="10"/>
  <c r="AP7" i="10"/>
  <c r="AJ8" i="10"/>
  <c r="AK8" i="10"/>
  <c r="AL8" i="10"/>
  <c r="AM8" i="10"/>
  <c r="AN8" i="10"/>
  <c r="AO8" i="10"/>
  <c r="AP8" i="10"/>
  <c r="AI6" i="9"/>
  <c r="AJ6" i="9"/>
  <c r="AK6" i="9"/>
  <c r="AL6" i="9"/>
  <c r="AM6" i="9"/>
  <c r="AN6" i="9"/>
  <c r="AI7" i="9"/>
  <c r="AJ7" i="9"/>
  <c r="AK7" i="9"/>
  <c r="AL7" i="9"/>
  <c r="AM7" i="9"/>
  <c r="AN7" i="9"/>
  <c r="AI8" i="9"/>
  <c r="AJ8" i="9"/>
  <c r="AK8" i="9"/>
  <c r="AL8" i="9"/>
  <c r="AM8" i="9"/>
  <c r="AN8" i="9"/>
  <c r="AH6" i="8"/>
  <c r="AH7" i="8"/>
  <c r="AH8" i="8"/>
  <c r="AF7" i="8"/>
  <c r="AG7" i="8"/>
  <c r="AF8" i="8"/>
  <c r="AG8" i="8"/>
  <c r="AG7" i="10"/>
  <c r="Z6" i="10"/>
  <c r="AA6" i="10"/>
  <c r="AB6" i="10"/>
  <c r="A26" i="10"/>
  <c r="A25" i="10"/>
  <c r="R14" i="10"/>
  <c r="R13" i="10"/>
  <c r="AI8" i="10"/>
  <c r="AH8" i="10"/>
  <c r="AG8" i="10"/>
  <c r="AF8" i="10"/>
  <c r="AF11" i="10" s="1"/>
  <c r="AD8" i="10"/>
  <c r="S8" i="10"/>
  <c r="R8" i="10"/>
  <c r="O8" i="10"/>
  <c r="AI7" i="10"/>
  <c r="AH7" i="10"/>
  <c r="AF7" i="10"/>
  <c r="AF10" i="10" s="1"/>
  <c r="AD7" i="10"/>
  <c r="S7" i="10"/>
  <c r="T7" i="10" s="1"/>
  <c r="R7" i="10"/>
  <c r="O7" i="10"/>
  <c r="AI6" i="10"/>
  <c r="AH6" i="10"/>
  <c r="AG6" i="10"/>
  <c r="Y6" i="10"/>
  <c r="X6" i="10"/>
  <c r="W6" i="10"/>
  <c r="V6" i="10"/>
  <c r="U6" i="10"/>
  <c r="T6" i="10"/>
  <c r="S6" i="10"/>
  <c r="Y6" i="9"/>
  <c r="Z6" i="9"/>
  <c r="AA6" i="9"/>
  <c r="A26" i="9"/>
  <c r="A25" i="9"/>
  <c r="R14" i="9"/>
  <c r="R13" i="9"/>
  <c r="AH8" i="9"/>
  <c r="AG8" i="9"/>
  <c r="AF8" i="9"/>
  <c r="AE8" i="9"/>
  <c r="AE11" i="9" s="1"/>
  <c r="AC8" i="9"/>
  <c r="S8" i="9"/>
  <c r="R8" i="9"/>
  <c r="N8" i="9"/>
  <c r="AH7" i="9"/>
  <c r="AG7" i="9"/>
  <c r="AF7" i="9"/>
  <c r="AE7" i="9"/>
  <c r="AE10" i="9" s="1"/>
  <c r="AC7" i="9"/>
  <c r="AK23" i="9" s="1"/>
  <c r="S7" i="9"/>
  <c r="R7" i="9"/>
  <c r="N7" i="9"/>
  <c r="AH6" i="9"/>
  <c r="AG6" i="9"/>
  <c r="AF6" i="9"/>
  <c r="X6" i="9"/>
  <c r="W6" i="9"/>
  <c r="V6" i="9"/>
  <c r="U6" i="9"/>
  <c r="T6" i="9"/>
  <c r="S6" i="9"/>
  <c r="AG7" i="6"/>
  <c r="AG6" i="6"/>
  <c r="AH6" i="6"/>
  <c r="AI6" i="6"/>
  <c r="AJ6" i="6"/>
  <c r="AH7" i="6"/>
  <c r="AI7" i="6"/>
  <c r="AJ7" i="6"/>
  <c r="AG8" i="6"/>
  <c r="AH8" i="6"/>
  <c r="AI8" i="6"/>
  <c r="AJ8" i="6"/>
  <c r="AK7" i="8"/>
  <c r="AK6" i="8"/>
  <c r="AK8" i="8"/>
  <c r="Y6" i="8"/>
  <c r="A26" i="8"/>
  <c r="A25" i="8"/>
  <c r="R14" i="8"/>
  <c r="R13" i="8"/>
  <c r="AL8" i="8"/>
  <c r="AJ8" i="8"/>
  <c r="AI8" i="8"/>
  <c r="AE8" i="8"/>
  <c r="AD8" i="8"/>
  <c r="AD11" i="8" s="1"/>
  <c r="AB8" i="8"/>
  <c r="S8" i="8"/>
  <c r="T8" i="8" s="1"/>
  <c r="U8" i="8" s="1"/>
  <c r="R8" i="8"/>
  <c r="M8" i="8"/>
  <c r="AL7" i="8"/>
  <c r="AJ7" i="8"/>
  <c r="AI7" i="8"/>
  <c r="AE7" i="8"/>
  <c r="AD7" i="8"/>
  <c r="AD10" i="8" s="1"/>
  <c r="AB7" i="8"/>
  <c r="S7" i="8"/>
  <c r="S13" i="8" s="1"/>
  <c r="R7" i="8"/>
  <c r="M7" i="8"/>
  <c r="AL6" i="8"/>
  <c r="AJ6" i="8"/>
  <c r="AI6" i="8"/>
  <c r="AG6" i="8"/>
  <c r="AF6" i="8"/>
  <c r="AE6" i="8"/>
  <c r="Z6" i="8"/>
  <c r="X6" i="8"/>
  <c r="W6" i="8"/>
  <c r="V6" i="8"/>
  <c r="U6" i="8"/>
  <c r="T6" i="8"/>
  <c r="S6" i="8"/>
  <c r="A30" i="7"/>
  <c r="A29" i="7"/>
  <c r="V18" i="7"/>
  <c r="V17" i="7"/>
  <c r="AJ12" i="7"/>
  <c r="AI12" i="7"/>
  <c r="AH12" i="7"/>
  <c r="AG12" i="7"/>
  <c r="AF12" i="7"/>
  <c r="AE12" i="7"/>
  <c r="AE15" i="7" s="1"/>
  <c r="AC12" i="7"/>
  <c r="W12" i="7"/>
  <c r="X12" i="7" s="1"/>
  <c r="V12" i="7"/>
  <c r="J12" i="7"/>
  <c r="AJ11" i="7"/>
  <c r="AI11" i="7"/>
  <c r="AH11" i="7"/>
  <c r="AG11" i="7"/>
  <c r="AE11" i="7"/>
  <c r="AE14" i="7" s="1"/>
  <c r="AC11" i="7"/>
  <c r="W11" i="7"/>
  <c r="V11" i="7"/>
  <c r="J11" i="7"/>
  <c r="AJ10" i="7"/>
  <c r="AI10" i="7"/>
  <c r="AH10" i="7"/>
  <c r="AG10" i="7"/>
  <c r="AF10" i="7"/>
  <c r="AA10" i="7"/>
  <c r="Z10" i="7"/>
  <c r="Y10" i="7"/>
  <c r="X10" i="7"/>
  <c r="W10" i="7"/>
  <c r="AF8" i="6"/>
  <c r="V6" i="6"/>
  <c r="A26" i="6"/>
  <c r="A25" i="6"/>
  <c r="R14" i="6"/>
  <c r="R13" i="6"/>
  <c r="AE8" i="6"/>
  <c r="AD8" i="6"/>
  <c r="AC8" i="6"/>
  <c r="AC11" i="6" s="1"/>
  <c r="AA8" i="6"/>
  <c r="S8" i="6"/>
  <c r="R8" i="6"/>
  <c r="L8" i="6"/>
  <c r="AF7" i="6"/>
  <c r="AE7" i="6"/>
  <c r="AD7" i="6"/>
  <c r="AC7" i="6"/>
  <c r="AC10" i="6" s="1"/>
  <c r="AA7" i="6"/>
  <c r="S7" i="6"/>
  <c r="T7" i="6" s="1"/>
  <c r="R7" i="6"/>
  <c r="L7" i="6"/>
  <c r="AF6" i="6"/>
  <c r="AE6" i="6"/>
  <c r="AD6" i="6"/>
  <c r="Y6" i="6"/>
  <c r="X6" i="6"/>
  <c r="W6" i="6"/>
  <c r="U6" i="6"/>
  <c r="T6" i="6"/>
  <c r="S6" i="6"/>
  <c r="L8" i="11" l="1"/>
  <c r="O8" i="11"/>
  <c r="M8" i="11"/>
  <c r="N8" i="11"/>
  <c r="M7" i="11"/>
  <c r="N7" i="11"/>
  <c r="O7" i="11"/>
  <c r="L7" i="11"/>
  <c r="W17" i="7"/>
  <c r="X17" i="7"/>
  <c r="L12" i="7"/>
  <c r="P12" i="7"/>
  <c r="M12" i="7"/>
  <c r="N12" i="7"/>
  <c r="O12" i="7"/>
  <c r="P11" i="7"/>
  <c r="M11" i="7"/>
  <c r="L11" i="7"/>
  <c r="N11" i="7"/>
  <c r="O11" i="7"/>
  <c r="X18" i="7"/>
  <c r="AK24" i="14"/>
  <c r="AP16" i="14"/>
  <c r="AK23" i="14"/>
  <c r="AV7" i="14"/>
  <c r="AV8" i="14"/>
  <c r="S14" i="14"/>
  <c r="T8" i="14"/>
  <c r="S13" i="14"/>
  <c r="S10" i="14"/>
  <c r="T7" i="14"/>
  <c r="Z23" i="14"/>
  <c r="Z18" i="14"/>
  <c r="AJ24" i="14"/>
  <c r="A16" i="14"/>
  <c r="AJ23" i="14"/>
  <c r="AK23" i="13"/>
  <c r="S14" i="13"/>
  <c r="S10" i="13"/>
  <c r="T8" i="13"/>
  <c r="U8" i="13" s="1"/>
  <c r="Z23" i="13"/>
  <c r="Z18" i="13"/>
  <c r="Z20" i="13" s="1"/>
  <c r="N13" i="13" s="1"/>
  <c r="S13" i="13"/>
  <c r="S16" i="13" s="1"/>
  <c r="AJ24" i="13"/>
  <c r="T7" i="13"/>
  <c r="U7" i="13" s="1"/>
  <c r="AJ23" i="13"/>
  <c r="AK24" i="13"/>
  <c r="AT8" i="13"/>
  <c r="AT7" i="13"/>
  <c r="A16" i="13"/>
  <c r="AO16" i="13"/>
  <c r="S14" i="12"/>
  <c r="S13" i="12"/>
  <c r="AH8" i="12"/>
  <c r="AL23" i="12"/>
  <c r="T7" i="12"/>
  <c r="A16" i="12"/>
  <c r="AA18" i="12"/>
  <c r="AA23" i="12"/>
  <c r="AH7" i="12"/>
  <c r="S10" i="12"/>
  <c r="AK24" i="12"/>
  <c r="T8" i="12"/>
  <c r="AI16" i="12"/>
  <c r="AK23" i="12"/>
  <c r="U14" i="11"/>
  <c r="V8" i="11"/>
  <c r="V14" i="11" s="1"/>
  <c r="AL23" i="11"/>
  <c r="AH8" i="11"/>
  <c r="B26" i="11" s="1"/>
  <c r="AA23" i="11"/>
  <c r="AH7" i="11"/>
  <c r="S14" i="11"/>
  <c r="AK24" i="11"/>
  <c r="S13" i="11"/>
  <c r="AA18" i="11"/>
  <c r="AA21" i="11" s="1"/>
  <c r="N14" i="11" s="1"/>
  <c r="T14" i="11"/>
  <c r="T7" i="11"/>
  <c r="U7" i="11" s="1"/>
  <c r="AI16" i="11"/>
  <c r="AK23" i="11"/>
  <c r="AL24" i="11"/>
  <c r="S10" i="11"/>
  <c r="A16" i="11"/>
  <c r="AR7" i="10"/>
  <c r="AJ10" i="10" s="1"/>
  <c r="AR8" i="10"/>
  <c r="AO10" i="10"/>
  <c r="AN10" i="10"/>
  <c r="V8" i="8"/>
  <c r="W8" i="8" s="1"/>
  <c r="X8" i="8" s="1"/>
  <c r="Y8" i="8" s="1"/>
  <c r="Z8" i="8" s="1"/>
  <c r="T7" i="8"/>
  <c r="U7" i="8" s="1"/>
  <c r="V7" i="8" s="1"/>
  <c r="W7" i="8" s="1"/>
  <c r="V10" i="8"/>
  <c r="AK24" i="10"/>
  <c r="S14" i="10"/>
  <c r="T8" i="10"/>
  <c r="T14" i="10" s="1"/>
  <c r="T13" i="10"/>
  <c r="U7" i="10"/>
  <c r="AK23" i="10"/>
  <c r="A16" i="10"/>
  <c r="Z23" i="10"/>
  <c r="S10" i="10"/>
  <c r="AN16" i="10"/>
  <c r="Z18" i="10"/>
  <c r="AJ24" i="10"/>
  <c r="S13" i="10"/>
  <c r="AJ23" i="10"/>
  <c r="S13" i="9"/>
  <c r="S14" i="9"/>
  <c r="AP8" i="9"/>
  <c r="Z23" i="9"/>
  <c r="S10" i="9"/>
  <c r="A16" i="9"/>
  <c r="AJ24" i="9"/>
  <c r="T7" i="9"/>
  <c r="AP7" i="9"/>
  <c r="AJ23" i="9"/>
  <c r="AK24" i="9"/>
  <c r="Z18" i="9"/>
  <c r="T8" i="9"/>
  <c r="AM16" i="9"/>
  <c r="AN7" i="8"/>
  <c r="AH10" i="8" s="1"/>
  <c r="Z23" i="8"/>
  <c r="S10" i="8"/>
  <c r="AK23" i="8"/>
  <c r="T14" i="8"/>
  <c r="AN8" i="8"/>
  <c r="AH11" i="8" s="1"/>
  <c r="S14" i="8"/>
  <c r="S16" i="8" s="1"/>
  <c r="Z18" i="8"/>
  <c r="AJ24" i="8"/>
  <c r="A16" i="8"/>
  <c r="AJ23" i="8"/>
  <c r="AK24" i="8"/>
  <c r="AL16" i="8"/>
  <c r="AE22" i="7"/>
  <c r="Y12" i="7"/>
  <c r="Z12" i="7" s="1"/>
  <c r="Z18" i="7" s="1"/>
  <c r="AN29" i="7"/>
  <c r="X11" i="7"/>
  <c r="X14" i="7" s="1"/>
  <c r="W14" i="7"/>
  <c r="AN28" i="7"/>
  <c r="AL12" i="7"/>
  <c r="AM29" i="7"/>
  <c r="W18" i="7"/>
  <c r="AL11" i="7"/>
  <c r="AF14" i="7" s="1"/>
  <c r="AE27" i="7"/>
  <c r="A20" i="7"/>
  <c r="AM20" i="7"/>
  <c r="AM28" i="7"/>
  <c r="U7" i="6"/>
  <c r="V7" i="6" s="1"/>
  <c r="T13" i="6"/>
  <c r="AL8" i="6"/>
  <c r="AL7" i="6"/>
  <c r="AK23" i="6"/>
  <c r="S10" i="6"/>
  <c r="T8" i="6"/>
  <c r="T10" i="6" s="1"/>
  <c r="S14" i="6"/>
  <c r="A16" i="6"/>
  <c r="AK16" i="6"/>
  <c r="AJ23" i="6"/>
  <c r="AK24" i="6"/>
  <c r="Z18" i="6"/>
  <c r="Z23" i="6"/>
  <c r="S13" i="6"/>
  <c r="AJ24" i="6"/>
  <c r="AX7" i="14" l="1"/>
  <c r="AR11" i="14"/>
  <c r="AT11" i="14"/>
  <c r="AS11" i="14"/>
  <c r="AQ10" i="14"/>
  <c r="AT10" i="14"/>
  <c r="AR10" i="14"/>
  <c r="AS10" i="14"/>
  <c r="AO10" i="14"/>
  <c r="B25" i="14"/>
  <c r="B26" i="14"/>
  <c r="AP10" i="14"/>
  <c r="AJ10" i="14"/>
  <c r="AI10" i="14"/>
  <c r="AL11" i="14"/>
  <c r="AO11" i="14"/>
  <c r="AI11" i="14"/>
  <c r="AJ11" i="14"/>
  <c r="AX8" i="14"/>
  <c r="AM10" i="14"/>
  <c r="AQ11" i="14"/>
  <c r="AK11" i="14"/>
  <c r="AP11" i="14"/>
  <c r="AN11" i="14"/>
  <c r="AN10" i="14"/>
  <c r="AK10" i="14"/>
  <c r="AL10" i="14"/>
  <c r="AM11" i="14"/>
  <c r="T14" i="14"/>
  <c r="U8" i="14"/>
  <c r="T13" i="14"/>
  <c r="T10" i="14"/>
  <c r="U7" i="14"/>
  <c r="Z21" i="14"/>
  <c r="N14" i="14" s="1"/>
  <c r="Z20" i="14"/>
  <c r="N13" i="14" s="1"/>
  <c r="Z19" i="14"/>
  <c r="N12" i="14" s="1"/>
  <c r="S16" i="14"/>
  <c r="AJ11" i="13"/>
  <c r="AN11" i="13"/>
  <c r="AR11" i="13"/>
  <c r="AK11" i="13"/>
  <c r="AO11" i="13"/>
  <c r="AL11" i="13"/>
  <c r="AP11" i="13"/>
  <c r="AM11" i="13"/>
  <c r="AQ11" i="13"/>
  <c r="AK10" i="13"/>
  <c r="AO10" i="13"/>
  <c r="AL10" i="13"/>
  <c r="AP10" i="13"/>
  <c r="AM10" i="13"/>
  <c r="AQ10" i="13"/>
  <c r="AJ10" i="13"/>
  <c r="AN10" i="13"/>
  <c r="AR10" i="13"/>
  <c r="V7" i="13"/>
  <c r="U13" i="13"/>
  <c r="U16" i="13" s="1"/>
  <c r="U10" i="13"/>
  <c r="V8" i="13"/>
  <c r="U14" i="13"/>
  <c r="T14" i="13"/>
  <c r="Z21" i="13"/>
  <c r="N14" i="13" s="1"/>
  <c r="N12" i="13"/>
  <c r="B26" i="13"/>
  <c r="AI11" i="13"/>
  <c r="AH11" i="13"/>
  <c r="AH10" i="13"/>
  <c r="B25" i="13"/>
  <c r="AV8" i="13"/>
  <c r="AI10" i="13"/>
  <c r="AV7" i="13"/>
  <c r="T13" i="13"/>
  <c r="T10" i="13"/>
  <c r="S16" i="12"/>
  <c r="AJ7" i="12"/>
  <c r="AD10" i="12"/>
  <c r="B25" i="12"/>
  <c r="AC10" i="12"/>
  <c r="AJ8" i="12"/>
  <c r="AB10" i="12"/>
  <c r="T10" i="12"/>
  <c r="U7" i="12"/>
  <c r="T13" i="12"/>
  <c r="T14" i="12"/>
  <c r="U8" i="12"/>
  <c r="AB11" i="12"/>
  <c r="AD11" i="12"/>
  <c r="B26" i="12"/>
  <c r="AC11" i="12"/>
  <c r="AA19" i="12"/>
  <c r="N12" i="12" s="1"/>
  <c r="AA20" i="12"/>
  <c r="N13" i="12" s="1"/>
  <c r="AA21" i="12"/>
  <c r="N14" i="12" s="1"/>
  <c r="B25" i="11"/>
  <c r="B34" i="11" s="1"/>
  <c r="AD10" i="11"/>
  <c r="AE10" i="11"/>
  <c r="AC11" i="11"/>
  <c r="AD11" i="11"/>
  <c r="AE11" i="11"/>
  <c r="U13" i="11"/>
  <c r="U16" i="11" s="1"/>
  <c r="U10" i="11"/>
  <c r="V7" i="11"/>
  <c r="AB11" i="11"/>
  <c r="AC10" i="11"/>
  <c r="AJ7" i="11"/>
  <c r="AB10" i="11"/>
  <c r="AJ8" i="11"/>
  <c r="AA19" i="11"/>
  <c r="N12" i="11" s="1"/>
  <c r="AA20" i="11"/>
  <c r="N13" i="11" s="1"/>
  <c r="S16" i="11"/>
  <c r="T13" i="11"/>
  <c r="T16" i="11" s="1"/>
  <c r="T10" i="11"/>
  <c r="AL10" i="10"/>
  <c r="AK10" i="10"/>
  <c r="AP10" i="10"/>
  <c r="AM10" i="10"/>
  <c r="AJ11" i="10"/>
  <c r="AK11" i="10"/>
  <c r="AO11" i="10"/>
  <c r="AL11" i="10"/>
  <c r="AP11" i="10"/>
  <c r="AM11" i="10"/>
  <c r="AN11" i="10"/>
  <c r="AI11" i="9"/>
  <c r="AM11" i="9"/>
  <c r="AJ11" i="9"/>
  <c r="AN11" i="9"/>
  <c r="AK11" i="9"/>
  <c r="AL11" i="9"/>
  <c r="AK10" i="9"/>
  <c r="AM10" i="9"/>
  <c r="AN10" i="9"/>
  <c r="AL10" i="9"/>
  <c r="AI10" i="9"/>
  <c r="AJ10" i="9"/>
  <c r="U10" i="8"/>
  <c r="AK11" i="8"/>
  <c r="AF11" i="8"/>
  <c r="AG11" i="8"/>
  <c r="AE10" i="8"/>
  <c r="AF10" i="8"/>
  <c r="AG10" i="8"/>
  <c r="W10" i="8"/>
  <c r="X7" i="8"/>
  <c r="AK10" i="8"/>
  <c r="T10" i="10"/>
  <c r="S16" i="10"/>
  <c r="U8" i="10"/>
  <c r="U14" i="10" s="1"/>
  <c r="T16" i="10"/>
  <c r="V8" i="10"/>
  <c r="V7" i="10"/>
  <c r="U13" i="10"/>
  <c r="Z21" i="10"/>
  <c r="N14" i="10" s="1"/>
  <c r="Z19" i="10"/>
  <c r="N12" i="10" s="1"/>
  <c r="Z20" i="10"/>
  <c r="N13" i="10" s="1"/>
  <c r="AG10" i="10"/>
  <c r="AT8" i="10"/>
  <c r="AI10" i="10"/>
  <c r="AH10" i="10"/>
  <c r="AT7" i="10"/>
  <c r="B25" i="10"/>
  <c r="AH11" i="10"/>
  <c r="AG11" i="10"/>
  <c r="B26" i="10"/>
  <c r="AI11" i="10"/>
  <c r="AG11" i="9"/>
  <c r="AH11" i="9"/>
  <c r="AF11" i="9"/>
  <c r="S16" i="9"/>
  <c r="B26" i="9"/>
  <c r="Z21" i="9"/>
  <c r="N14" i="9" s="1"/>
  <c r="Z20" i="9"/>
  <c r="N13" i="9" s="1"/>
  <c r="Z19" i="9"/>
  <c r="N12" i="9" s="1"/>
  <c r="AF10" i="9"/>
  <c r="AR7" i="9"/>
  <c r="B25" i="9"/>
  <c r="AG10" i="9"/>
  <c r="AR8" i="9"/>
  <c r="AH10" i="9"/>
  <c r="T14" i="9"/>
  <c r="U8" i="9"/>
  <c r="T13" i="9"/>
  <c r="U7" i="9"/>
  <c r="T10" i="9"/>
  <c r="AG10" i="6"/>
  <c r="AH10" i="6"/>
  <c r="AI10" i="6"/>
  <c r="AJ10" i="6"/>
  <c r="AG11" i="6"/>
  <c r="AH11" i="6"/>
  <c r="AI11" i="6"/>
  <c r="AJ11" i="6"/>
  <c r="Z21" i="8"/>
  <c r="N14" i="8" s="1"/>
  <c r="Z20" i="8"/>
  <c r="N13" i="8" s="1"/>
  <c r="Z19" i="8"/>
  <c r="N12" i="8" s="1"/>
  <c r="B26" i="8"/>
  <c r="AL11" i="8"/>
  <c r="AJ11" i="8"/>
  <c r="AE11" i="8"/>
  <c r="AI11" i="8"/>
  <c r="U14" i="8"/>
  <c r="AI10" i="8"/>
  <c r="AP7" i="8"/>
  <c r="AP8" i="8"/>
  <c r="B25" i="8"/>
  <c r="AL10" i="8"/>
  <c r="AJ10" i="8"/>
  <c r="T13" i="8"/>
  <c r="T16" i="8" s="1"/>
  <c r="T10" i="8"/>
  <c r="AA12" i="7"/>
  <c r="AA18" i="7" s="1"/>
  <c r="Y18" i="7"/>
  <c r="W20" i="7"/>
  <c r="AG15" i="7"/>
  <c r="AF15" i="7"/>
  <c r="AH15" i="7"/>
  <c r="AI15" i="7"/>
  <c r="AJ15" i="7"/>
  <c r="Y11" i="7"/>
  <c r="X20" i="7"/>
  <c r="B30" i="7"/>
  <c r="AH14" i="7"/>
  <c r="AG14" i="7"/>
  <c r="AL14" i="7" s="1"/>
  <c r="B29" i="7"/>
  <c r="AI14" i="7"/>
  <c r="AN12" i="7"/>
  <c r="AJ14" i="7"/>
  <c r="AN11" i="7"/>
  <c r="AE23" i="7"/>
  <c r="N16" i="7" s="1"/>
  <c r="AE24" i="7"/>
  <c r="N17" i="7" s="1"/>
  <c r="AE25" i="7"/>
  <c r="N18" i="7" s="1"/>
  <c r="W7" i="6"/>
  <c r="V13" i="6"/>
  <c r="S16" i="6"/>
  <c r="AN8" i="6"/>
  <c r="B25" i="6"/>
  <c r="AD10" i="6"/>
  <c r="AF10" i="6"/>
  <c r="AE10" i="6"/>
  <c r="AN7" i="6"/>
  <c r="B26" i="6"/>
  <c r="AF11" i="6"/>
  <c r="AD11" i="6"/>
  <c r="AE11" i="6"/>
  <c r="T14" i="6"/>
  <c r="T16" i="6" s="1"/>
  <c r="U8" i="6"/>
  <c r="V8" i="6" s="1"/>
  <c r="W8" i="6" s="1"/>
  <c r="X8" i="6" s="1"/>
  <c r="Y8" i="6" s="1"/>
  <c r="U13" i="6"/>
  <c r="Z20" i="6"/>
  <c r="N13" i="6" s="1"/>
  <c r="Z21" i="6"/>
  <c r="N14" i="6" s="1"/>
  <c r="Z19" i="6"/>
  <c r="N12" i="6" s="1"/>
  <c r="B38" i="7" l="1"/>
  <c r="AP13" i="14"/>
  <c r="AV10" i="14"/>
  <c r="AW10" i="14" s="1"/>
  <c r="C25" i="14" s="1"/>
  <c r="AV11" i="14"/>
  <c r="AW11" i="14" s="1"/>
  <c r="C26" i="14" s="1"/>
  <c r="T16" i="14"/>
  <c r="V7" i="14"/>
  <c r="U10" i="14"/>
  <c r="U13" i="14"/>
  <c r="V8" i="14"/>
  <c r="U14" i="14"/>
  <c r="AO13" i="13"/>
  <c r="T16" i="13"/>
  <c r="W8" i="13"/>
  <c r="V14" i="13"/>
  <c r="W7" i="13"/>
  <c r="V10" i="13"/>
  <c r="V13" i="13"/>
  <c r="AT10" i="13"/>
  <c r="AT11" i="13"/>
  <c r="AU11" i="13" s="1"/>
  <c r="C26" i="13" s="1"/>
  <c r="AH10" i="12"/>
  <c r="AI10" i="12" s="1"/>
  <c r="U14" i="12"/>
  <c r="AH11" i="12"/>
  <c r="AI11" i="12" s="1"/>
  <c r="C26" i="12" s="1"/>
  <c r="T16" i="12"/>
  <c r="AI13" i="12"/>
  <c r="U13" i="12"/>
  <c r="U16" i="12" s="1"/>
  <c r="U10" i="12"/>
  <c r="AI13" i="11"/>
  <c r="AH10" i="11"/>
  <c r="AI10" i="11" s="1"/>
  <c r="C25" i="11" s="1"/>
  <c r="AH11" i="11"/>
  <c r="AI11" i="11" s="1"/>
  <c r="C26" i="11" s="1"/>
  <c r="V13" i="11"/>
  <c r="V16" i="11" s="1"/>
  <c r="V10" i="11"/>
  <c r="AN13" i="10"/>
  <c r="U10" i="10"/>
  <c r="Y7" i="8"/>
  <c r="X10" i="8"/>
  <c r="U16" i="10"/>
  <c r="W8" i="10"/>
  <c r="V14" i="10"/>
  <c r="AR10" i="10"/>
  <c r="V13" i="10"/>
  <c r="V10" i="10"/>
  <c r="W7" i="10"/>
  <c r="AR11" i="10"/>
  <c r="AS11" i="10" s="1"/>
  <c r="C26" i="10" s="1"/>
  <c r="AP11" i="9"/>
  <c r="AQ11" i="9" s="1"/>
  <c r="C26" i="9" s="1"/>
  <c r="U14" i="9"/>
  <c r="V8" i="9"/>
  <c r="U10" i="9"/>
  <c r="U13" i="9"/>
  <c r="U16" i="9" s="1"/>
  <c r="V7" i="9"/>
  <c r="AM13" i="9"/>
  <c r="T16" i="9"/>
  <c r="AP10" i="9"/>
  <c r="AN10" i="8"/>
  <c r="AL13" i="8"/>
  <c r="U13" i="8"/>
  <c r="U16" i="8" s="1"/>
  <c r="AN11" i="8"/>
  <c r="AO11" i="8" s="1"/>
  <c r="C26" i="8" s="1"/>
  <c r="V14" i="8"/>
  <c r="Z11" i="7"/>
  <c r="Y17" i="7"/>
  <c r="Y20" i="7" s="1"/>
  <c r="Y14" i="7"/>
  <c r="AL15" i="7"/>
  <c r="AM15" i="7" s="1"/>
  <c r="C30" i="7" s="1"/>
  <c r="AM17" i="7"/>
  <c r="X7" i="6"/>
  <c r="W13" i="6"/>
  <c r="W10" i="6"/>
  <c r="AL10" i="6"/>
  <c r="AK13" i="6"/>
  <c r="V10" i="6"/>
  <c r="V14" i="6"/>
  <c r="V16" i="6" s="1"/>
  <c r="U14" i="6"/>
  <c r="U16" i="6" s="1"/>
  <c r="U10" i="6"/>
  <c r="AL11" i="6"/>
  <c r="AM11" i="6" s="1"/>
  <c r="C26" i="6" s="1"/>
  <c r="AK21" i="11" l="1"/>
  <c r="C31" i="11" s="1"/>
  <c r="E31" i="11" s="1"/>
  <c r="AJ21" i="14"/>
  <c r="C31" i="14" s="1"/>
  <c r="E32" i="14" s="1"/>
  <c r="AP14" i="14"/>
  <c r="AP15" i="14" s="1"/>
  <c r="D20" i="14" s="1"/>
  <c r="V13" i="14"/>
  <c r="V10" i="14"/>
  <c r="W7" i="14"/>
  <c r="V14" i="14"/>
  <c r="W8" i="14"/>
  <c r="U16" i="14"/>
  <c r="W10" i="13"/>
  <c r="X7" i="13"/>
  <c r="W13" i="13"/>
  <c r="W16" i="13" s="1"/>
  <c r="V16" i="13"/>
  <c r="X8" i="13"/>
  <c r="W14" i="13"/>
  <c r="AJ21" i="13"/>
  <c r="C31" i="13" s="1"/>
  <c r="AO14" i="13"/>
  <c r="AO15" i="13" s="1"/>
  <c r="AU10" i="13"/>
  <c r="C25" i="13" s="1"/>
  <c r="C25" i="12"/>
  <c r="AK21" i="12"/>
  <c r="C31" i="12" s="1"/>
  <c r="AI14" i="12"/>
  <c r="AI15" i="12" s="1"/>
  <c r="Y16" i="12"/>
  <c r="Y10" i="12"/>
  <c r="AI14" i="11"/>
  <c r="AI15" i="11" s="1"/>
  <c r="AK17" i="11" s="1"/>
  <c r="AK18" i="11" s="1"/>
  <c r="AK19" i="11" s="1"/>
  <c r="AK20" i="11" s="1"/>
  <c r="C28" i="11" s="1"/>
  <c r="Y10" i="8"/>
  <c r="Z7" i="8"/>
  <c r="Z10" i="8" s="1"/>
  <c r="V16" i="10"/>
  <c r="AN14" i="10"/>
  <c r="AN15" i="10" s="1"/>
  <c r="AS10" i="10"/>
  <c r="C25" i="10" s="1"/>
  <c r="AJ21" i="10"/>
  <c r="C31" i="10" s="1"/>
  <c r="X7" i="10"/>
  <c r="W13" i="10"/>
  <c r="W10" i="10"/>
  <c r="X8" i="10"/>
  <c r="W14" i="10"/>
  <c r="V14" i="9"/>
  <c r="W8" i="9"/>
  <c r="V13" i="9"/>
  <c r="W7" i="9"/>
  <c r="V10" i="9"/>
  <c r="AM14" i="9"/>
  <c r="AM15" i="9" s="1"/>
  <c r="AQ10" i="9"/>
  <c r="C25" i="9" s="1"/>
  <c r="AJ21" i="9"/>
  <c r="C31" i="9" s="1"/>
  <c r="V13" i="8"/>
  <c r="V16" i="8" s="1"/>
  <c r="AO10" i="8"/>
  <c r="C25" i="8" s="1"/>
  <c r="AJ21" i="8"/>
  <c r="C31" i="8" s="1"/>
  <c r="AL14" i="8"/>
  <c r="AL15" i="8" s="1"/>
  <c r="AJ17" i="8" s="1"/>
  <c r="W14" i="8"/>
  <c r="Z17" i="7"/>
  <c r="Z20" i="7" s="1"/>
  <c r="AA11" i="7"/>
  <c r="Z14" i="7"/>
  <c r="AM18" i="7"/>
  <c r="AM19" i="7" s="1"/>
  <c r="AM22" i="7" s="1"/>
  <c r="AM14" i="7"/>
  <c r="C29" i="7" s="1"/>
  <c r="Y7" i="6"/>
  <c r="Y10" i="6" s="1"/>
  <c r="X10" i="6"/>
  <c r="AK14" i="6"/>
  <c r="AK15" i="6" s="1"/>
  <c r="AM10" i="6"/>
  <c r="C25" i="6" s="1"/>
  <c r="AJ21" i="6"/>
  <c r="C31" i="6" s="1"/>
  <c r="X13" i="6"/>
  <c r="W14" i="6"/>
  <c r="W16" i="6" s="1"/>
  <c r="A26" i="2"/>
  <c r="A25" i="2"/>
  <c r="K8" i="2"/>
  <c r="K7" i="2"/>
  <c r="W14" i="2"/>
  <c r="W13" i="2"/>
  <c r="X8" i="2"/>
  <c r="X7" i="2"/>
  <c r="W8" i="2"/>
  <c r="W7" i="2"/>
  <c r="Y6" i="2"/>
  <c r="Z6" i="2"/>
  <c r="AA6" i="2"/>
  <c r="AB6" i="2"/>
  <c r="AC6" i="2"/>
  <c r="X6" i="2"/>
  <c r="AE8" i="2"/>
  <c r="AH7" i="2"/>
  <c r="AI7" i="2"/>
  <c r="AE7" i="2"/>
  <c r="AI8" i="2"/>
  <c r="AJ8" i="2"/>
  <c r="AK8" i="2"/>
  <c r="AL8" i="2"/>
  <c r="AM8" i="2"/>
  <c r="AH8" i="2"/>
  <c r="AJ7" i="2"/>
  <c r="AK7" i="2"/>
  <c r="AL7" i="2"/>
  <c r="AM7" i="2"/>
  <c r="AI6" i="2"/>
  <c r="AJ6" i="2"/>
  <c r="AK6" i="2"/>
  <c r="AL6" i="2"/>
  <c r="AM6" i="2"/>
  <c r="AH6" i="2"/>
  <c r="AG8" i="2"/>
  <c r="AG11" i="2" s="1"/>
  <c r="AG7" i="2"/>
  <c r="AG10" i="2" s="1"/>
  <c r="E32" i="11" l="1"/>
  <c r="D32" i="11"/>
  <c r="D31" i="11"/>
  <c r="D32" i="14"/>
  <c r="E31" i="14"/>
  <c r="AJ17" i="14"/>
  <c r="D21" i="14" s="1"/>
  <c r="D22" i="14" s="1"/>
  <c r="D31" i="14"/>
  <c r="W13" i="14"/>
  <c r="W10" i="14"/>
  <c r="X7" i="14"/>
  <c r="V16" i="14"/>
  <c r="W14" i="14"/>
  <c r="X8" i="14"/>
  <c r="Y7" i="13"/>
  <c r="X10" i="13"/>
  <c r="X13" i="13"/>
  <c r="X16" i="13" s="1"/>
  <c r="Y8" i="13"/>
  <c r="X14" i="13"/>
  <c r="E32" i="13"/>
  <c r="D31" i="13"/>
  <c r="D32" i="13"/>
  <c r="E31" i="13"/>
  <c r="AJ17" i="13"/>
  <c r="D20" i="13"/>
  <c r="AB21" i="12"/>
  <c r="O14" i="12" s="1"/>
  <c r="AB20" i="12"/>
  <c r="O13" i="12" s="1"/>
  <c r="AB19" i="12"/>
  <c r="O12" i="12" s="1"/>
  <c r="D20" i="11"/>
  <c r="D21" i="11"/>
  <c r="D22" i="11" s="1"/>
  <c r="AK17" i="12"/>
  <c r="D20" i="12"/>
  <c r="Z23" i="12"/>
  <c r="AB23" i="12" s="1"/>
  <c r="Z24" i="12" s="1"/>
  <c r="D12" i="12"/>
  <c r="D14" i="12" s="1"/>
  <c r="D32" i="12"/>
  <c r="E31" i="12"/>
  <c r="D31" i="12"/>
  <c r="E32" i="12"/>
  <c r="Y16" i="11"/>
  <c r="Y10" i="11"/>
  <c r="AO7" i="2"/>
  <c r="B25" i="2" s="1"/>
  <c r="A16" i="2"/>
  <c r="AO23" i="2"/>
  <c r="AO24" i="2"/>
  <c r="AP24" i="2"/>
  <c r="AP23" i="2"/>
  <c r="Y7" i="10"/>
  <c r="Z7" i="10" s="1"/>
  <c r="X13" i="10"/>
  <c r="X10" i="10"/>
  <c r="X14" i="10"/>
  <c r="Y8" i="10"/>
  <c r="Z8" i="10" s="1"/>
  <c r="D32" i="10"/>
  <c r="E32" i="10"/>
  <c r="E31" i="10"/>
  <c r="D31" i="10"/>
  <c r="W16" i="10"/>
  <c r="AJ17" i="10"/>
  <c r="D20" i="10"/>
  <c r="E32" i="9"/>
  <c r="D31" i="9"/>
  <c r="D32" i="9"/>
  <c r="E31" i="9"/>
  <c r="AJ17" i="9"/>
  <c r="D20" i="9"/>
  <c r="V16" i="9"/>
  <c r="W13" i="9"/>
  <c r="X7" i="9"/>
  <c r="Y7" i="9" s="1"/>
  <c r="W10" i="9"/>
  <c r="W14" i="9"/>
  <c r="X8" i="9"/>
  <c r="Y8" i="9" s="1"/>
  <c r="Y14" i="8"/>
  <c r="X14" i="8"/>
  <c r="W13" i="8"/>
  <c r="W16" i="8" s="1"/>
  <c r="D20" i="8"/>
  <c r="E32" i="8"/>
  <c r="D32" i="8"/>
  <c r="D31" i="8"/>
  <c r="E31" i="8"/>
  <c r="AM26" i="7"/>
  <c r="C35" i="7" s="1"/>
  <c r="E35" i="7" s="1"/>
  <c r="AA14" i="7"/>
  <c r="AC14" i="7" s="1"/>
  <c r="AA17" i="7"/>
  <c r="AA20" i="7" s="1"/>
  <c r="AC20" i="7" s="1"/>
  <c r="D24" i="7"/>
  <c r="AJ17" i="6"/>
  <c r="D20" i="6"/>
  <c r="Y14" i="6"/>
  <c r="X14" i="6"/>
  <c r="X16" i="6" s="1"/>
  <c r="Y13" i="6"/>
  <c r="E32" i="6"/>
  <c r="E31" i="6"/>
  <c r="D31" i="6"/>
  <c r="D32" i="6"/>
  <c r="AE23" i="2"/>
  <c r="AE18" i="2"/>
  <c r="X10" i="2"/>
  <c r="X14" i="2"/>
  <c r="Y7" i="2"/>
  <c r="Z7" i="2" s="1"/>
  <c r="Z13" i="2" s="1"/>
  <c r="Y8" i="2"/>
  <c r="X13" i="2"/>
  <c r="AO16" i="2"/>
  <c r="AO8" i="2"/>
  <c r="AJ18" i="14" l="1"/>
  <c r="AJ19" i="14" s="1"/>
  <c r="AJ20" i="14" s="1"/>
  <c r="C28" i="14" s="1"/>
  <c r="X13" i="14"/>
  <c r="X10" i="14"/>
  <c r="Y7" i="14"/>
  <c r="X14" i="14"/>
  <c r="Y8" i="14"/>
  <c r="W16" i="14"/>
  <c r="Z8" i="13"/>
  <c r="Y14" i="13"/>
  <c r="Y10" i="13"/>
  <c r="Y13" i="13"/>
  <c r="Y16" i="13" s="1"/>
  <c r="Z7" i="13"/>
  <c r="AJ18" i="13"/>
  <c r="AJ19" i="13" s="1"/>
  <c r="AJ20" i="13" s="1"/>
  <c r="C28" i="13" s="1"/>
  <c r="D21" i="13"/>
  <c r="D22" i="13" s="1"/>
  <c r="Z23" i="11"/>
  <c r="AB23" i="11" s="1"/>
  <c r="Z24" i="11" s="1"/>
  <c r="Z26" i="11" s="1"/>
  <c r="G12" i="11" s="1"/>
  <c r="AB21" i="11"/>
  <c r="O14" i="11" s="1"/>
  <c r="AB20" i="11"/>
  <c r="O13" i="11" s="1"/>
  <c r="AB19" i="11"/>
  <c r="O12" i="11" s="1"/>
  <c r="AD27" i="7"/>
  <c r="AF27" i="7" s="1"/>
  <c r="AD28" i="7" s="1"/>
  <c r="G17" i="7" s="1"/>
  <c r="AF24" i="7"/>
  <c r="O17" i="7" s="1"/>
  <c r="AF25" i="7"/>
  <c r="O18" i="7" s="1"/>
  <c r="AF23" i="7"/>
  <c r="O16" i="7" s="1"/>
  <c r="Z26" i="12"/>
  <c r="G12" i="12" s="1"/>
  <c r="G13" i="12"/>
  <c r="AK18" i="12"/>
  <c r="AK19" i="12" s="1"/>
  <c r="AK20" i="12" s="1"/>
  <c r="C28" i="12" s="1"/>
  <c r="D21" i="12"/>
  <c r="D22" i="12" s="1"/>
  <c r="D12" i="11"/>
  <c r="D14" i="11" s="1"/>
  <c r="W16" i="9"/>
  <c r="D36" i="7"/>
  <c r="E36" i="7"/>
  <c r="AA8" i="10"/>
  <c r="Z14" i="10"/>
  <c r="AA7" i="10"/>
  <c r="Z10" i="10"/>
  <c r="Z13" i="10"/>
  <c r="AJ18" i="10"/>
  <c r="AJ19" i="10" s="1"/>
  <c r="AJ20" i="10" s="1"/>
  <c r="C28" i="10" s="1"/>
  <c r="D21" i="10"/>
  <c r="D22" i="10" s="1"/>
  <c r="X16" i="10"/>
  <c r="Y14" i="10"/>
  <c r="Y13" i="10"/>
  <c r="Y10" i="10"/>
  <c r="Z7" i="9"/>
  <c r="Y13" i="9"/>
  <c r="Y10" i="9"/>
  <c r="Z8" i="9"/>
  <c r="Y14" i="9"/>
  <c r="X14" i="9"/>
  <c r="X13" i="9"/>
  <c r="X10" i="9"/>
  <c r="AJ18" i="9"/>
  <c r="AJ19" i="9" s="1"/>
  <c r="AJ20" i="9" s="1"/>
  <c r="C28" i="9" s="1"/>
  <c r="D21" i="9"/>
  <c r="D22" i="9" s="1"/>
  <c r="Z13" i="8"/>
  <c r="Y13" i="8"/>
  <c r="Y16" i="8" s="1"/>
  <c r="Z14" i="8"/>
  <c r="AJ18" i="8"/>
  <c r="AJ19" i="8" s="1"/>
  <c r="AJ20" i="8" s="1"/>
  <c r="C28" i="8" s="1"/>
  <c r="D21" i="8"/>
  <c r="D22" i="8" s="1"/>
  <c r="X13" i="8"/>
  <c r="X16" i="8" s="1"/>
  <c r="D35" i="7"/>
  <c r="D16" i="7"/>
  <c r="D18" i="7" s="1"/>
  <c r="D25" i="7"/>
  <c r="D26" i="7" s="1"/>
  <c r="AM23" i="7"/>
  <c r="AM24" i="7" s="1"/>
  <c r="Y16" i="6"/>
  <c r="AA16" i="6" s="1"/>
  <c r="AJ18" i="6"/>
  <c r="AJ19" i="6" s="1"/>
  <c r="AJ20" i="6" s="1"/>
  <c r="C28" i="6" s="1"/>
  <c r="D21" i="6"/>
  <c r="D22" i="6" s="1"/>
  <c r="AA10" i="6"/>
  <c r="AE19" i="2"/>
  <c r="N12" i="2" s="1"/>
  <c r="AE21" i="2"/>
  <c r="N14" i="2" s="1"/>
  <c r="AE20" i="2"/>
  <c r="N13" i="2" s="1"/>
  <c r="AA7" i="2"/>
  <c r="AB7" i="2" s="1"/>
  <c r="X16" i="2"/>
  <c r="Y13" i="2"/>
  <c r="AJ11" i="2"/>
  <c r="B26" i="2"/>
  <c r="Z8" i="2"/>
  <c r="Y14" i="2"/>
  <c r="Y10" i="2"/>
  <c r="AH10" i="2"/>
  <c r="AJ10" i="2"/>
  <c r="AI11" i="2"/>
  <c r="AM11" i="2"/>
  <c r="AQ8" i="2"/>
  <c r="AH11" i="2"/>
  <c r="AQ7" i="2"/>
  <c r="AK11" i="2"/>
  <c r="AL11" i="2"/>
  <c r="AK10" i="2"/>
  <c r="AI10" i="2"/>
  <c r="AL10" i="2"/>
  <c r="AM10" i="2"/>
  <c r="G13" i="11" l="1"/>
  <c r="AM25" i="7"/>
  <c r="C32" i="7" s="1"/>
  <c r="AD30" i="7"/>
  <c r="G16" i="7" s="1"/>
  <c r="Z7" i="14"/>
  <c r="Y13" i="14"/>
  <c r="Y10" i="14"/>
  <c r="Z8" i="14"/>
  <c r="Y14" i="14"/>
  <c r="X16" i="14"/>
  <c r="Z10" i="13"/>
  <c r="Z13" i="13"/>
  <c r="Z16" i="13" s="1"/>
  <c r="AA7" i="13"/>
  <c r="AA8" i="13"/>
  <c r="Z14" i="13"/>
  <c r="X16" i="9"/>
  <c r="AB7" i="10"/>
  <c r="AA13" i="10"/>
  <c r="AA10" i="10"/>
  <c r="Z16" i="10"/>
  <c r="AB8" i="10"/>
  <c r="AB14" i="10" s="1"/>
  <c r="AA14" i="10"/>
  <c r="Y16" i="10"/>
  <c r="AA8" i="9"/>
  <c r="AA14" i="9" s="1"/>
  <c r="Z14" i="9"/>
  <c r="Y16" i="9"/>
  <c r="AA7" i="9"/>
  <c r="Z13" i="9"/>
  <c r="Z16" i="9" s="1"/>
  <c r="Z10" i="9"/>
  <c r="Z16" i="8"/>
  <c r="AB16" i="8" s="1"/>
  <c r="AB10" i="8"/>
  <c r="Y23" i="6"/>
  <c r="AA23" i="6" s="1"/>
  <c r="Y24" i="6" s="1"/>
  <c r="G13" i="6" s="1"/>
  <c r="AA20" i="6"/>
  <c r="O13" i="6" s="1"/>
  <c r="AA19" i="6"/>
  <c r="AA21" i="6"/>
  <c r="O14" i="6" s="1"/>
  <c r="D12" i="6"/>
  <c r="D14" i="6" s="1"/>
  <c r="AA13" i="2"/>
  <c r="Y16" i="2"/>
  <c r="Z10" i="2"/>
  <c r="AA8" i="2"/>
  <c r="Z14" i="2"/>
  <c r="Z16" i="2" s="1"/>
  <c r="AB13" i="2"/>
  <c r="AC7" i="2"/>
  <c r="AO13" i="2"/>
  <c r="AO11" i="2"/>
  <c r="AO10" i="2"/>
  <c r="Y16" i="14" l="1"/>
  <c r="Z14" i="14"/>
  <c r="AA8" i="14"/>
  <c r="AB8" i="14" s="1"/>
  <c r="Z13" i="14"/>
  <c r="Z10" i="14"/>
  <c r="AA7" i="14"/>
  <c r="AB7" i="14" s="1"/>
  <c r="AB8" i="13"/>
  <c r="AA14" i="13"/>
  <c r="AB7" i="13"/>
  <c r="AA10" i="13"/>
  <c r="AA13" i="13"/>
  <c r="AO21" i="2"/>
  <c r="C31" i="2" s="1"/>
  <c r="D32" i="2" s="1"/>
  <c r="AA16" i="10"/>
  <c r="AB10" i="10"/>
  <c r="AD10" i="10" s="1"/>
  <c r="AB13" i="10"/>
  <c r="AB16" i="10" s="1"/>
  <c r="AA13" i="9"/>
  <c r="AA16" i="9" s="1"/>
  <c r="AC16" i="9" s="1"/>
  <c r="AA10" i="9"/>
  <c r="AC10" i="9"/>
  <c r="Y23" i="8"/>
  <c r="AA23" i="8" s="1"/>
  <c r="Y24" i="8" s="1"/>
  <c r="AA21" i="8"/>
  <c r="O14" i="8" s="1"/>
  <c r="AA20" i="8"/>
  <c r="O13" i="8" s="1"/>
  <c r="AA19" i="8"/>
  <c r="O12" i="8" s="1"/>
  <c r="D12" i="8"/>
  <c r="D14" i="8" s="1"/>
  <c r="Y26" i="6"/>
  <c r="G12" i="6" s="1"/>
  <c r="AA10" i="2"/>
  <c r="AA14" i="2"/>
  <c r="AA16" i="2" s="1"/>
  <c r="AB8" i="2"/>
  <c r="AC13" i="2"/>
  <c r="AO14" i="2"/>
  <c r="AO15" i="2" s="1"/>
  <c r="D20" i="2" s="1"/>
  <c r="AP11" i="2"/>
  <c r="C26" i="2" s="1"/>
  <c r="AP10" i="2"/>
  <c r="C25" i="2" s="1"/>
  <c r="Z16" i="14" l="1"/>
  <c r="AC8" i="14"/>
  <c r="AB14" i="14"/>
  <c r="AC7" i="14"/>
  <c r="AB13" i="14"/>
  <c r="AB10" i="14"/>
  <c r="AA14" i="14"/>
  <c r="AA13" i="14"/>
  <c r="AA10" i="14"/>
  <c r="AB10" i="13"/>
  <c r="AB13" i="13"/>
  <c r="AC7" i="13"/>
  <c r="AA16" i="13"/>
  <c r="AC8" i="13"/>
  <c r="AC14" i="13" s="1"/>
  <c r="AB14" i="13"/>
  <c r="D31" i="2"/>
  <c r="E32" i="2"/>
  <c r="E31" i="2"/>
  <c r="AD16" i="10"/>
  <c r="Y23" i="10" s="1"/>
  <c r="AA23" i="10" s="1"/>
  <c r="Y24" i="10" s="1"/>
  <c r="D12" i="9"/>
  <c r="D14" i="9" s="1"/>
  <c r="Y23" i="9"/>
  <c r="AA23" i="9" s="1"/>
  <c r="Y24" i="9" s="1"/>
  <c r="AA21" i="9"/>
  <c r="O14" i="9" s="1"/>
  <c r="AA20" i="9"/>
  <c r="O13" i="9" s="1"/>
  <c r="AA19" i="9"/>
  <c r="O12" i="9" s="1"/>
  <c r="Y26" i="8"/>
  <c r="G12" i="8" s="1"/>
  <c r="G13" i="8"/>
  <c r="AB14" i="2"/>
  <c r="AB16" i="2" s="1"/>
  <c r="AC8" i="2"/>
  <c r="AB10" i="2"/>
  <c r="AO17" i="2"/>
  <c r="AA16" i="14" l="1"/>
  <c r="AB16" i="14"/>
  <c r="AD7" i="14"/>
  <c r="AC13" i="14"/>
  <c r="AC10" i="14"/>
  <c r="AD8" i="14"/>
  <c r="AD14" i="14" s="1"/>
  <c r="AC14" i="14"/>
  <c r="AB16" i="13"/>
  <c r="AC13" i="13"/>
  <c r="AC16" i="13" s="1"/>
  <c r="AC10" i="13"/>
  <c r="AE10" i="13" s="1"/>
  <c r="D12" i="13" s="1"/>
  <c r="D14" i="13" s="1"/>
  <c r="AE16" i="13"/>
  <c r="AA19" i="10"/>
  <c r="O12" i="10" s="1"/>
  <c r="D12" i="10"/>
  <c r="D14" i="10" s="1"/>
  <c r="AA20" i="10"/>
  <c r="O13" i="10" s="1"/>
  <c r="AA21" i="10"/>
  <c r="O14" i="10" s="1"/>
  <c r="Y26" i="10"/>
  <c r="G12" i="10" s="1"/>
  <c r="G13" i="10"/>
  <c r="Y26" i="9"/>
  <c r="G12" i="9" s="1"/>
  <c r="G13" i="9"/>
  <c r="D21" i="2"/>
  <c r="D22" i="2" s="1"/>
  <c r="AO18" i="2"/>
  <c r="AO19" i="2" s="1"/>
  <c r="AC14" i="2"/>
  <c r="AC16" i="2" s="1"/>
  <c r="AE16" i="2" s="1"/>
  <c r="AC10" i="2"/>
  <c r="AE10" i="2" s="1"/>
  <c r="AO20" i="2" l="1"/>
  <c r="C28" i="2" s="1"/>
  <c r="AD23" i="2"/>
  <c r="AF23" i="2" s="1"/>
  <c r="AD24" i="2" s="1"/>
  <c r="AD26" i="2" s="1"/>
  <c r="G12" i="2" s="1"/>
  <c r="AF19" i="2"/>
  <c r="O12" i="2" s="1"/>
  <c r="AF20" i="2"/>
  <c r="O13" i="2" s="1"/>
  <c r="AF21" i="2"/>
  <c r="O14" i="2" s="1"/>
  <c r="AC16" i="14"/>
  <c r="AD10" i="14"/>
  <c r="AF10" i="14" s="1"/>
  <c r="AD13" i="14"/>
  <c r="AD16" i="14" s="1"/>
  <c r="Y23" i="13"/>
  <c r="AA23" i="13" s="1"/>
  <c r="Y24" i="13" s="1"/>
  <c r="AA21" i="13"/>
  <c r="O14" i="13" s="1"/>
  <c r="AA20" i="13"/>
  <c r="O13" i="13" s="1"/>
  <c r="D12" i="2"/>
  <c r="D14" i="2" s="1"/>
  <c r="G13" i="2" l="1"/>
  <c r="AF16" i="14"/>
  <c r="AA20" i="14" s="1"/>
  <c r="O13" i="14" s="1"/>
  <c r="Y26" i="13"/>
  <c r="G12" i="13" s="1"/>
  <c r="G13" i="13"/>
  <c r="Y23" i="14" l="1"/>
  <c r="AA23" i="14" s="1"/>
  <c r="Y24" i="14" s="1"/>
  <c r="G13" i="14" s="1"/>
  <c r="AA19" i="14"/>
  <c r="O12" i="14" s="1"/>
  <c r="AA21" i="14"/>
  <c r="O14" i="14" s="1"/>
  <c r="D12" i="14"/>
  <c r="D14" i="14" s="1"/>
  <c r="Y26" i="14"/>
  <c r="G12" i="14" s="1"/>
</calcChain>
</file>

<file path=xl/sharedStrings.xml><?xml version="1.0" encoding="utf-8"?>
<sst xmlns="http://schemas.openxmlformats.org/spreadsheetml/2006/main" count="667" uniqueCount="85">
  <si>
    <t>df</t>
  </si>
  <si>
    <t>Very Angular</t>
  </si>
  <si>
    <t>Angular</t>
  </si>
  <si>
    <t>Sub-angular</t>
  </si>
  <si>
    <t>Sub-rounded</t>
  </si>
  <si>
    <t>Rounded</t>
  </si>
  <si>
    <t>Well-rounded</t>
  </si>
  <si>
    <t>Totals</t>
  </si>
  <si>
    <t>Coding</t>
  </si>
  <si>
    <t>Mean</t>
  </si>
  <si>
    <t>var</t>
  </si>
  <si>
    <t>SD</t>
  </si>
  <si>
    <t>diff mean</t>
  </si>
  <si>
    <t>rootvar</t>
  </si>
  <si>
    <t>t</t>
  </si>
  <si>
    <t>max</t>
  </si>
  <si>
    <t>min</t>
  </si>
  <si>
    <t>diff</t>
  </si>
  <si>
    <t>D-max</t>
  </si>
  <si>
    <t xml:space="preserve">Dmax = </t>
  </si>
  <si>
    <t>Effect size:</t>
  </si>
  <si>
    <t xml:space="preserve">D = </t>
  </si>
  <si>
    <t>Student's t-test</t>
  </si>
  <si>
    <t xml:space="preserve">2-tail </t>
  </si>
  <si>
    <t>1-tail</t>
  </si>
  <si>
    <t>p =</t>
  </si>
  <si>
    <t>t =</t>
  </si>
  <si>
    <t>mean</t>
  </si>
  <si>
    <t>stdev</t>
  </si>
  <si>
    <t>Workings</t>
  </si>
  <si>
    <t>Change the names of the groups and categories and enter the counts (not percentages) in the box below. Coding values can also be changed</t>
  </si>
  <si>
    <t>2 tail p</t>
  </si>
  <si>
    <t>chi2</t>
  </si>
  <si>
    <t>one tail p</t>
  </si>
  <si>
    <t>two tail</t>
  </si>
  <si>
    <t>1 tail p</t>
  </si>
  <si>
    <t>z</t>
  </si>
  <si>
    <t>r</t>
  </si>
  <si>
    <t>Effect size r</t>
  </si>
  <si>
    <t>These are conservative estimates based on the chi square distribution, for more exact critical values use tables</t>
  </si>
  <si>
    <t>f ratio</t>
  </si>
  <si>
    <t>F ratio:</t>
  </si>
  <si>
    <t>5%crit</t>
  </si>
  <si>
    <t>1%crit</t>
  </si>
  <si>
    <t>2 tail</t>
  </si>
  <si>
    <t>1 tail</t>
  </si>
  <si>
    <t>SA</t>
  </si>
  <si>
    <t>A</t>
  </si>
  <si>
    <t>D</t>
  </si>
  <si>
    <t>VSD</t>
  </si>
  <si>
    <t>VSA</t>
  </si>
  <si>
    <t>Male</t>
  </si>
  <si>
    <t>Female</t>
  </si>
  <si>
    <t>B</t>
  </si>
  <si>
    <t>C</t>
  </si>
  <si>
    <t>E</t>
  </si>
  <si>
    <t>N</t>
  </si>
  <si>
    <t>Strongly agree</t>
  </si>
  <si>
    <t>Agree</t>
  </si>
  <si>
    <t>Neutral</t>
  </si>
  <si>
    <t>Disagree</t>
  </si>
  <si>
    <t>Strongly disagree</t>
  </si>
  <si>
    <t>p = 0.05</t>
  </si>
  <si>
    <t>2-tail critical values</t>
  </si>
  <si>
    <t>p = 0.01</t>
  </si>
  <si>
    <t>Sig?</t>
  </si>
  <si>
    <t>F</t>
  </si>
  <si>
    <t>G</t>
  </si>
  <si>
    <t>H</t>
  </si>
  <si>
    <t>I</t>
  </si>
  <si>
    <t>J</t>
  </si>
  <si>
    <t>K</t>
  </si>
  <si>
    <t>L</t>
  </si>
  <si>
    <t>Deposit A</t>
  </si>
  <si>
    <t>Deposit B</t>
  </si>
  <si>
    <t>m</t>
  </si>
  <si>
    <t>f</t>
  </si>
  <si>
    <t>Locals</t>
  </si>
  <si>
    <t>Tourists</t>
  </si>
  <si>
    <t>This table calculates the percentages</t>
  </si>
  <si>
    <t>p = 0.001</t>
  </si>
  <si>
    <t>These are the cumulative counts</t>
  </si>
  <si>
    <t>These are the cumulative proportions</t>
  </si>
  <si>
    <t>Counts weighted by the coding</t>
  </si>
  <si>
    <t>Changed to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</si>
</sst>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0" xfId="0" applyNumberFormat="1"/>
    <xf numFmtId="0" fontId="3" fillId="0" borderId="4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Fill="1"/>
    <xf numFmtId="0" fontId="0" fillId="0" borderId="0" xfId="0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0" fillId="0" borderId="0" xfId="0" applyNumberFormat="1"/>
    <xf numFmtId="164" fontId="2" fillId="0" borderId="0" xfId="0" applyNumberFormat="1" applyFont="1"/>
    <xf numFmtId="165" fontId="0" fillId="0" borderId="0" xfId="0" applyNumberFormat="1" applyAlignment="1">
      <alignment vertical="center" wrapText="1"/>
    </xf>
    <xf numFmtId="0" fontId="6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1" fillId="0" borderId="0" xfId="0" applyFont="1" applyBorder="1" applyAlignment="1">
      <alignment horizontal="center" vertical="center"/>
    </xf>
    <xf numFmtId="1" fontId="0" fillId="0" borderId="0" xfId="0" applyNumberFormat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12056730690563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 categories'!$D$6:$F$6</c:f>
              <c:strCache>
                <c:ptCount val="3"/>
                <c:pt idx="0">
                  <c:v>Agree</c:v>
                </c:pt>
                <c:pt idx="1">
                  <c:v>Neutral</c:v>
                </c:pt>
                <c:pt idx="2">
                  <c:v>Disagree</c:v>
                </c:pt>
              </c:strCache>
            </c:strRef>
          </c:cat>
          <c:val>
            <c:numRef>
              <c:f>'3 categories'!$D$7:$F$7</c:f>
              <c:numCache>
                <c:formatCode>General</c:formatCode>
                <c:ptCount val="3"/>
                <c:pt idx="0">
                  <c:v>52</c:v>
                </c:pt>
                <c:pt idx="1">
                  <c:v>6</c:v>
                </c:pt>
                <c:pt idx="2">
                  <c:v>12</c:v>
                </c:pt>
              </c:numCache>
            </c:numRef>
          </c:val>
        </c:ser>
        <c:ser>
          <c:idx val="1"/>
          <c:order val="1"/>
          <c:tx>
            <c:strRef>
              <c:f>'3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 categories'!$D$6:$F$6</c:f>
              <c:strCache>
                <c:ptCount val="3"/>
                <c:pt idx="0">
                  <c:v>Agree</c:v>
                </c:pt>
                <c:pt idx="1">
                  <c:v>Neutral</c:v>
                </c:pt>
                <c:pt idx="2">
                  <c:v>Disagree</c:v>
                </c:pt>
              </c:strCache>
            </c:strRef>
          </c:cat>
          <c:val>
            <c:numRef>
              <c:f>'3 categories'!$D$8:$F$8</c:f>
              <c:numCache>
                <c:formatCode>General</c:formatCode>
                <c:ptCount val="3"/>
                <c:pt idx="0">
                  <c:v>25</c:v>
                </c:pt>
                <c:pt idx="1">
                  <c:v>14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2295712"/>
        <c:axId val="-62306048"/>
      </c:barChart>
      <c:catAx>
        <c:axId val="-6229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306048"/>
        <c:crosses val="autoZero"/>
        <c:auto val="1"/>
        <c:lblAlgn val="ctr"/>
        <c:lblOffset val="100"/>
        <c:noMultiLvlLbl val="0"/>
      </c:catAx>
      <c:valAx>
        <c:axId val="-62306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29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12056730690563"/>
          <c:y val="7.7892325315005728E-2"/>
          <c:w val="0.79591575186931052"/>
          <c:h val="0.64868468760992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 categories'!$B$7</c:f>
              <c:strCache>
                <c:ptCount val="1"/>
                <c:pt idx="0">
                  <c:v>Deposit A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 categories'!$D$6:$I$6</c:f>
              <c:strCache>
                <c:ptCount val="6"/>
                <c:pt idx="0">
                  <c:v>Very Angular</c:v>
                </c:pt>
                <c:pt idx="1">
                  <c:v>Angular</c:v>
                </c:pt>
                <c:pt idx="2">
                  <c:v>Sub-angular</c:v>
                </c:pt>
                <c:pt idx="3">
                  <c:v>Sub-rounded</c:v>
                </c:pt>
                <c:pt idx="4">
                  <c:v>Rounded</c:v>
                </c:pt>
                <c:pt idx="5">
                  <c:v>Well-rounded</c:v>
                </c:pt>
              </c:strCache>
            </c:strRef>
          </c:cat>
          <c:val>
            <c:numRef>
              <c:f>'6 categories'!$D$7:$I$7</c:f>
              <c:numCache>
                <c:formatCode>General</c:formatCode>
                <c:ptCount val="6"/>
                <c:pt idx="0">
                  <c:v>0</c:v>
                </c:pt>
                <c:pt idx="1">
                  <c:v>14</c:v>
                </c:pt>
                <c:pt idx="2">
                  <c:v>38</c:v>
                </c:pt>
                <c:pt idx="3">
                  <c:v>38</c:v>
                </c:pt>
                <c:pt idx="4">
                  <c:v>10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'6 categories'!$B$8</c:f>
              <c:strCache>
                <c:ptCount val="1"/>
                <c:pt idx="0">
                  <c:v>Deposit B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 categories'!$D$6:$I$6</c:f>
              <c:strCache>
                <c:ptCount val="6"/>
                <c:pt idx="0">
                  <c:v>Very Angular</c:v>
                </c:pt>
                <c:pt idx="1">
                  <c:v>Angular</c:v>
                </c:pt>
                <c:pt idx="2">
                  <c:v>Sub-angular</c:v>
                </c:pt>
                <c:pt idx="3">
                  <c:v>Sub-rounded</c:v>
                </c:pt>
                <c:pt idx="4">
                  <c:v>Rounded</c:v>
                </c:pt>
                <c:pt idx="5">
                  <c:v>Well-rounded</c:v>
                </c:pt>
              </c:strCache>
            </c:strRef>
          </c:cat>
          <c:val>
            <c:numRef>
              <c:f>'6 categories'!$D$8:$I$8</c:f>
              <c:numCache>
                <c:formatCode>General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18</c:v>
                </c:pt>
                <c:pt idx="3">
                  <c:v>18</c:v>
                </c:pt>
                <c:pt idx="4">
                  <c:v>16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939328"/>
        <c:axId val="-1986939872"/>
      </c:barChart>
      <c:catAx>
        <c:axId val="-198693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9872"/>
        <c:crosses val="autoZero"/>
        <c:auto val="1"/>
        <c:lblAlgn val="ctr"/>
        <c:lblOffset val="100"/>
        <c:noMultiLvlLbl val="0"/>
      </c:catAx>
      <c:valAx>
        <c:axId val="-1986939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9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317140557157221"/>
          <c:y val="0.10251950464954765"/>
          <c:w val="0.21854383446511313"/>
          <c:h val="0.20561337049363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'6 categories'!$W$13</c:f>
              <c:strCache>
                <c:ptCount val="1"/>
                <c:pt idx="0">
                  <c:v>Deposit A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'6 categories'!$X$6:$AC$6</c:f>
              <c:strCache>
                <c:ptCount val="6"/>
                <c:pt idx="0">
                  <c:v>Very Angular</c:v>
                </c:pt>
                <c:pt idx="1">
                  <c:v>Angular</c:v>
                </c:pt>
                <c:pt idx="2">
                  <c:v>Sub-angular</c:v>
                </c:pt>
                <c:pt idx="3">
                  <c:v>Sub-rounded</c:v>
                </c:pt>
                <c:pt idx="4">
                  <c:v>Rounded</c:v>
                </c:pt>
                <c:pt idx="5">
                  <c:v>Well-rounded</c:v>
                </c:pt>
              </c:strCache>
            </c:strRef>
          </c:cat>
          <c:val>
            <c:numRef>
              <c:f>'6 categories'!$X$13:$AC$13</c:f>
              <c:numCache>
                <c:formatCode>General</c:formatCode>
                <c:ptCount val="6"/>
                <c:pt idx="0">
                  <c:v>0</c:v>
                </c:pt>
                <c:pt idx="1">
                  <c:v>0.14000000000000001</c:v>
                </c:pt>
                <c:pt idx="2">
                  <c:v>0.52</c:v>
                </c:pt>
                <c:pt idx="3">
                  <c:v>0.9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'6 categories'!$W$14</c:f>
              <c:strCache>
                <c:ptCount val="1"/>
                <c:pt idx="0">
                  <c:v>Deposit B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'6 categories'!$X$6:$AC$6</c:f>
              <c:strCache>
                <c:ptCount val="6"/>
                <c:pt idx="0">
                  <c:v>Very Angular</c:v>
                </c:pt>
                <c:pt idx="1">
                  <c:v>Angular</c:v>
                </c:pt>
                <c:pt idx="2">
                  <c:v>Sub-angular</c:v>
                </c:pt>
                <c:pt idx="3">
                  <c:v>Sub-rounded</c:v>
                </c:pt>
                <c:pt idx="4">
                  <c:v>Rounded</c:v>
                </c:pt>
                <c:pt idx="5">
                  <c:v>Well-rounded</c:v>
                </c:pt>
              </c:strCache>
            </c:strRef>
          </c:cat>
          <c:val>
            <c:numRef>
              <c:f>'6 categories'!$X$14:$AC$14</c:f>
              <c:numCache>
                <c:formatCode>General</c:formatCode>
                <c:ptCount val="6"/>
                <c:pt idx="0">
                  <c:v>0.16</c:v>
                </c:pt>
                <c:pt idx="1">
                  <c:v>0.32</c:v>
                </c:pt>
                <c:pt idx="2">
                  <c:v>0.5</c:v>
                </c:pt>
                <c:pt idx="3">
                  <c:v>0.68</c:v>
                </c:pt>
                <c:pt idx="4">
                  <c:v>0.84</c:v>
                </c:pt>
                <c:pt idx="5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930080"/>
        <c:axId val="-1986936608"/>
      </c:lineChart>
      <c:catAx>
        <c:axId val="-198693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6608"/>
        <c:crosses val="autoZero"/>
        <c:auto val="1"/>
        <c:lblAlgn val="ctr"/>
        <c:lblOffset val="100"/>
        <c:noMultiLvlLbl val="0"/>
      </c:catAx>
      <c:valAx>
        <c:axId val="-198693660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00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12056730690563"/>
          <c:y val="7.7892325315005728E-2"/>
          <c:w val="0.79591575186931052"/>
          <c:h val="0.648684687609925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'6 categories'!$B$7</c:f>
              <c:strCache>
                <c:ptCount val="1"/>
                <c:pt idx="0">
                  <c:v>Deposit A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 categories'!$N$6:$S$6</c:f>
              <c:strCache>
                <c:ptCount val="6"/>
                <c:pt idx="0">
                  <c:v>Very Angular</c:v>
                </c:pt>
                <c:pt idx="1">
                  <c:v>Angular</c:v>
                </c:pt>
                <c:pt idx="2">
                  <c:v>Sub-angular</c:v>
                </c:pt>
                <c:pt idx="3">
                  <c:v>Sub-rounded</c:v>
                </c:pt>
                <c:pt idx="4">
                  <c:v>Rounded</c:v>
                </c:pt>
                <c:pt idx="5">
                  <c:v>Well-rounded</c:v>
                </c:pt>
              </c:strCache>
            </c:strRef>
          </c:cat>
          <c:val>
            <c:numRef>
              <c:f>'6 categories'!$N$7:$S$7</c:f>
              <c:numCache>
                <c:formatCode>General</c:formatCode>
                <c:ptCount val="6"/>
                <c:pt idx="0">
                  <c:v>0</c:v>
                </c:pt>
                <c:pt idx="1">
                  <c:v>14.000000000000002</c:v>
                </c:pt>
                <c:pt idx="2">
                  <c:v>38</c:v>
                </c:pt>
                <c:pt idx="3">
                  <c:v>38</c:v>
                </c:pt>
                <c:pt idx="4">
                  <c:v>10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'6 categories'!$B$8</c:f>
              <c:strCache>
                <c:ptCount val="1"/>
                <c:pt idx="0">
                  <c:v>Deposit B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'6 categories'!$N$6:$S$6</c:f>
              <c:strCache>
                <c:ptCount val="6"/>
                <c:pt idx="0">
                  <c:v>Very Angular</c:v>
                </c:pt>
                <c:pt idx="1">
                  <c:v>Angular</c:v>
                </c:pt>
                <c:pt idx="2">
                  <c:v>Sub-angular</c:v>
                </c:pt>
                <c:pt idx="3">
                  <c:v>Sub-rounded</c:v>
                </c:pt>
                <c:pt idx="4">
                  <c:v>Rounded</c:v>
                </c:pt>
                <c:pt idx="5">
                  <c:v>Well-rounded</c:v>
                </c:pt>
              </c:strCache>
            </c:strRef>
          </c:cat>
          <c:val>
            <c:numRef>
              <c:f>'6 categories'!$N$8:$S$8</c:f>
              <c:numCache>
                <c:formatCode>General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18</c:v>
                </c:pt>
                <c:pt idx="3">
                  <c:v>18</c:v>
                </c:pt>
                <c:pt idx="4">
                  <c:v>16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4981536"/>
        <c:axId val="-74979904"/>
      </c:barChart>
      <c:catAx>
        <c:axId val="-7498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79904"/>
        <c:crosses val="autoZero"/>
        <c:auto val="1"/>
        <c:lblAlgn val="ctr"/>
        <c:lblOffset val="100"/>
        <c:noMultiLvlLbl val="0"/>
      </c:catAx>
      <c:valAx>
        <c:axId val="-749799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8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317140557157221"/>
          <c:y val="0.10251950464954765"/>
          <c:w val="0.21854383446511313"/>
          <c:h val="0.20561337049363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1975298611941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'7 categories'!$D$6:$J$6</c:f>
              <c:strCache>
                <c:ptCount val="7"/>
                <c:pt idx="0">
                  <c:v>VSA</c:v>
                </c:pt>
                <c:pt idx="1">
                  <c:v>SA</c:v>
                </c:pt>
                <c:pt idx="2">
                  <c:v>A</c:v>
                </c:pt>
                <c:pt idx="3">
                  <c:v>N</c:v>
                </c:pt>
                <c:pt idx="4">
                  <c:v>D</c:v>
                </c:pt>
                <c:pt idx="5">
                  <c:v>SD</c:v>
                </c:pt>
                <c:pt idx="6">
                  <c:v>VSD</c:v>
                </c:pt>
              </c:strCache>
            </c:strRef>
          </c:cat>
          <c:val>
            <c:numRef>
              <c:f>'7 categories'!$D$7:$J$7</c:f>
              <c:numCache>
                <c:formatCode>General</c:formatCode>
                <c:ptCount val="7"/>
                <c:pt idx="0">
                  <c:v>2</c:v>
                </c:pt>
                <c:pt idx="1">
                  <c:v>16</c:v>
                </c:pt>
                <c:pt idx="2">
                  <c:v>27</c:v>
                </c:pt>
                <c:pt idx="3">
                  <c:v>14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'7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'7 categories'!$D$6:$J$6</c:f>
              <c:strCache>
                <c:ptCount val="7"/>
                <c:pt idx="0">
                  <c:v>VSA</c:v>
                </c:pt>
                <c:pt idx="1">
                  <c:v>SA</c:v>
                </c:pt>
                <c:pt idx="2">
                  <c:v>A</c:v>
                </c:pt>
                <c:pt idx="3">
                  <c:v>N</c:v>
                </c:pt>
                <c:pt idx="4">
                  <c:v>D</c:v>
                </c:pt>
                <c:pt idx="5">
                  <c:v>SD</c:v>
                </c:pt>
                <c:pt idx="6">
                  <c:v>VSD</c:v>
                </c:pt>
              </c:strCache>
            </c:strRef>
          </c:cat>
          <c:val>
            <c:numRef>
              <c:f>'7 categories'!$D$8:$J$8</c:f>
              <c:numCache>
                <c:formatCode>General</c:formatCode>
                <c:ptCount val="7"/>
                <c:pt idx="0">
                  <c:v>2</c:v>
                </c:pt>
                <c:pt idx="1">
                  <c:v>12</c:v>
                </c:pt>
                <c:pt idx="2">
                  <c:v>12</c:v>
                </c:pt>
                <c:pt idx="3">
                  <c:v>27</c:v>
                </c:pt>
                <c:pt idx="4">
                  <c:v>14</c:v>
                </c:pt>
                <c:pt idx="5">
                  <c:v>7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935520"/>
        <c:axId val="-1986934976"/>
      </c:barChart>
      <c:catAx>
        <c:axId val="-198693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4976"/>
        <c:crosses val="autoZero"/>
        <c:auto val="1"/>
        <c:lblAlgn val="ctr"/>
        <c:lblOffset val="100"/>
        <c:noMultiLvlLbl val="0"/>
      </c:catAx>
      <c:valAx>
        <c:axId val="-19869349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'7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'7 categories'!$S$6:$Y$6</c:f>
              <c:strCache>
                <c:ptCount val="7"/>
                <c:pt idx="0">
                  <c:v>VSA</c:v>
                </c:pt>
                <c:pt idx="1">
                  <c:v>SA</c:v>
                </c:pt>
                <c:pt idx="2">
                  <c:v>A</c:v>
                </c:pt>
                <c:pt idx="3">
                  <c:v>N</c:v>
                </c:pt>
                <c:pt idx="4">
                  <c:v>D</c:v>
                </c:pt>
                <c:pt idx="5">
                  <c:v>SD</c:v>
                </c:pt>
                <c:pt idx="6">
                  <c:v>VSD</c:v>
                </c:pt>
              </c:strCache>
            </c:strRef>
          </c:cat>
          <c:val>
            <c:numRef>
              <c:f>'7 categories'!$S$13:$Y$13</c:f>
              <c:numCache>
                <c:formatCode>General</c:formatCode>
                <c:ptCount val="7"/>
                <c:pt idx="0">
                  <c:v>2.9850746268656716E-2</c:v>
                </c:pt>
                <c:pt idx="1">
                  <c:v>0.26865671641791045</c:v>
                </c:pt>
                <c:pt idx="2">
                  <c:v>0.67164179104477617</c:v>
                </c:pt>
                <c:pt idx="3">
                  <c:v>0.88059701492537312</c:v>
                </c:pt>
                <c:pt idx="4">
                  <c:v>0.97014925373134331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'7 categories'!$S$6:$Y$6</c:f>
              <c:strCache>
                <c:ptCount val="7"/>
                <c:pt idx="0">
                  <c:v>VSA</c:v>
                </c:pt>
                <c:pt idx="1">
                  <c:v>SA</c:v>
                </c:pt>
                <c:pt idx="2">
                  <c:v>A</c:v>
                </c:pt>
                <c:pt idx="3">
                  <c:v>N</c:v>
                </c:pt>
                <c:pt idx="4">
                  <c:v>D</c:v>
                </c:pt>
                <c:pt idx="5">
                  <c:v>SD</c:v>
                </c:pt>
                <c:pt idx="6">
                  <c:v>VSD</c:v>
                </c:pt>
              </c:strCache>
            </c:strRef>
          </c:cat>
          <c:val>
            <c:numRef>
              <c:f>'7 categories'!$S$14:$Y$14</c:f>
              <c:numCache>
                <c:formatCode>General</c:formatCode>
                <c:ptCount val="7"/>
                <c:pt idx="0">
                  <c:v>2.6666666666666668E-2</c:v>
                </c:pt>
                <c:pt idx="1">
                  <c:v>0.18666666666666668</c:v>
                </c:pt>
                <c:pt idx="2">
                  <c:v>0.34666666666666668</c:v>
                </c:pt>
                <c:pt idx="3">
                  <c:v>0.70666666666666667</c:v>
                </c:pt>
                <c:pt idx="4">
                  <c:v>0.89333333333333331</c:v>
                </c:pt>
                <c:pt idx="5">
                  <c:v>0.98666666666666669</c:v>
                </c:pt>
                <c:pt idx="6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933888"/>
        <c:axId val="-1986927904"/>
      </c:lineChart>
      <c:catAx>
        <c:axId val="-198693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27904"/>
        <c:crosses val="autoZero"/>
        <c:auto val="1"/>
        <c:lblAlgn val="ctr"/>
        <c:lblOffset val="100"/>
        <c:noMultiLvlLbl val="0"/>
      </c:catAx>
      <c:valAx>
        <c:axId val="-198692790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388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1975298611941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'8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'8 categories'!$D$6:$K$6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'8 categories'!$D$7:$K$7</c:f>
              <c:numCache>
                <c:formatCode>General</c:formatCode>
                <c:ptCount val="8"/>
                <c:pt idx="0">
                  <c:v>20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strRef>
              <c:f>'8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'8 categories'!$D$6:$K$6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'8 categories'!$D$8:$K$8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942048"/>
        <c:axId val="-1986932256"/>
      </c:barChart>
      <c:catAx>
        <c:axId val="-198694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2256"/>
        <c:crosses val="autoZero"/>
        <c:auto val="1"/>
        <c:lblAlgn val="ctr"/>
        <c:lblOffset val="100"/>
        <c:noMultiLvlLbl val="0"/>
      </c:catAx>
      <c:valAx>
        <c:axId val="-19869322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42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'8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'8 categories'!$S$6:$Z$6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'8 categories'!$S$13:$Z$13</c:f>
              <c:numCache>
                <c:formatCode>General</c:formatCode>
                <c:ptCount val="8"/>
                <c:pt idx="0">
                  <c:v>0.22222222222222221</c:v>
                </c:pt>
                <c:pt idx="1">
                  <c:v>0.33333333333333331</c:v>
                </c:pt>
                <c:pt idx="2">
                  <c:v>0.44444444444444442</c:v>
                </c:pt>
                <c:pt idx="3">
                  <c:v>0.55555555555555558</c:v>
                </c:pt>
                <c:pt idx="4">
                  <c:v>0.66666666666666663</c:v>
                </c:pt>
                <c:pt idx="5">
                  <c:v>0.77777777777777779</c:v>
                </c:pt>
                <c:pt idx="6">
                  <c:v>0.88888888888888884</c:v>
                </c:pt>
                <c:pt idx="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'8 categories'!$S$6:$Z$6</c:f>
              <c:strCache>
                <c:ptCount val="8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</c:strCache>
            </c:strRef>
          </c:cat>
          <c:val>
            <c:numRef>
              <c:f>'8 categories'!$S$14:$Z$14</c:f>
              <c:numCache>
                <c:formatCode>General</c:formatCode>
                <c:ptCount val="8"/>
                <c:pt idx="0">
                  <c:v>0.12195121951219512</c:v>
                </c:pt>
                <c:pt idx="1">
                  <c:v>0.24390243902439024</c:v>
                </c:pt>
                <c:pt idx="2">
                  <c:v>0.36585365853658536</c:v>
                </c:pt>
                <c:pt idx="3">
                  <c:v>0.48780487804878048</c:v>
                </c:pt>
                <c:pt idx="4">
                  <c:v>0.6097560975609756</c:v>
                </c:pt>
                <c:pt idx="5">
                  <c:v>0.73170731707317072</c:v>
                </c:pt>
                <c:pt idx="6">
                  <c:v>0.85365853658536583</c:v>
                </c:pt>
                <c:pt idx="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942592"/>
        <c:axId val="-1986060304"/>
      </c:lineChart>
      <c:catAx>
        <c:axId val="-198694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0304"/>
        <c:crosses val="autoZero"/>
        <c:auto val="1"/>
        <c:lblAlgn val="ctr"/>
        <c:lblOffset val="100"/>
        <c:noMultiLvlLbl val="0"/>
      </c:catAx>
      <c:valAx>
        <c:axId val="-198606030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4259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1975298611941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'9 categories'!$D$6:$L$6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'9 categories'!$D$7:$L$7</c:f>
              <c:numCache>
                <c:formatCode>General</c:formatCode>
                <c:ptCount val="9"/>
                <c:pt idx="0">
                  <c:v>5</c:v>
                </c:pt>
                <c:pt idx="1">
                  <c:v>16</c:v>
                </c:pt>
                <c:pt idx="2">
                  <c:v>27</c:v>
                </c:pt>
                <c:pt idx="3">
                  <c:v>14</c:v>
                </c:pt>
                <c:pt idx="4">
                  <c:v>6</c:v>
                </c:pt>
                <c:pt idx="5">
                  <c:v>2</c:v>
                </c:pt>
                <c:pt idx="6">
                  <c:v>8</c:v>
                </c:pt>
                <c:pt idx="7">
                  <c:v>2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'9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'9 categories'!$D$6:$L$6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'9 categories'!$D$8:$L$8</c:f>
              <c:numCache>
                <c:formatCode>General</c:formatCode>
                <c:ptCount val="9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27</c:v>
                </c:pt>
                <c:pt idx="4">
                  <c:v>14</c:v>
                </c:pt>
                <c:pt idx="5">
                  <c:v>7</c:v>
                </c:pt>
                <c:pt idx="6">
                  <c:v>8</c:v>
                </c:pt>
                <c:pt idx="7">
                  <c:v>3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065200"/>
        <c:axId val="-1986068464"/>
      </c:barChart>
      <c:catAx>
        <c:axId val="-198606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8464"/>
        <c:crosses val="autoZero"/>
        <c:auto val="1"/>
        <c:lblAlgn val="ctr"/>
        <c:lblOffset val="100"/>
        <c:noMultiLvlLbl val="0"/>
      </c:catAx>
      <c:valAx>
        <c:axId val="-19860684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'9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'9 categories'!$S$6:$AA$6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'9 categories'!$S$13:$AA$13</c:f>
              <c:numCache>
                <c:formatCode>General</c:formatCode>
                <c:ptCount val="9"/>
                <c:pt idx="0">
                  <c:v>6.25E-2</c:v>
                </c:pt>
                <c:pt idx="1">
                  <c:v>0.26250000000000001</c:v>
                </c:pt>
                <c:pt idx="2">
                  <c:v>0.6</c:v>
                </c:pt>
                <c:pt idx="3">
                  <c:v>0.77500000000000002</c:v>
                </c:pt>
                <c:pt idx="4">
                  <c:v>0.85</c:v>
                </c:pt>
                <c:pt idx="5">
                  <c:v>0.875</c:v>
                </c:pt>
                <c:pt idx="6">
                  <c:v>0.97499999999999998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'9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'9 categories'!$S$6:$AA$6</c:f>
              <c:strCache>
                <c:ptCount val="9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</c:strCache>
            </c:strRef>
          </c:cat>
          <c:val>
            <c:numRef>
              <c:f>'9 categories'!$S$14:$AA$14</c:f>
              <c:numCache>
                <c:formatCode>General</c:formatCode>
                <c:ptCount val="9"/>
                <c:pt idx="0">
                  <c:v>2.5000000000000001E-2</c:v>
                </c:pt>
                <c:pt idx="1">
                  <c:v>0.1</c:v>
                </c:pt>
                <c:pt idx="2">
                  <c:v>0.25</c:v>
                </c:pt>
                <c:pt idx="3">
                  <c:v>0.58750000000000002</c:v>
                </c:pt>
                <c:pt idx="4">
                  <c:v>0.76249999999999996</c:v>
                </c:pt>
                <c:pt idx="5">
                  <c:v>0.85</c:v>
                </c:pt>
                <c:pt idx="6">
                  <c:v>0.95</c:v>
                </c:pt>
                <c:pt idx="7">
                  <c:v>0.98750000000000004</c:v>
                </c:pt>
                <c:pt idx="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059760"/>
        <c:axId val="-1986067376"/>
      </c:lineChart>
      <c:catAx>
        <c:axId val="-1986059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7376"/>
        <c:crosses val="autoZero"/>
        <c:auto val="1"/>
        <c:lblAlgn val="ctr"/>
        <c:lblOffset val="100"/>
        <c:noMultiLvlLbl val="0"/>
      </c:catAx>
      <c:valAx>
        <c:axId val="-198606737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597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1975298611941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'10 categories'!$D$6:$M$6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'10 categories'!$D$7:$M$7</c:f>
              <c:numCache>
                <c:formatCode>General</c:formatCode>
                <c:ptCount val="10"/>
                <c:pt idx="0">
                  <c:v>8</c:v>
                </c:pt>
                <c:pt idx="1">
                  <c:v>16</c:v>
                </c:pt>
                <c:pt idx="2">
                  <c:v>35</c:v>
                </c:pt>
                <c:pt idx="3">
                  <c:v>14</c:v>
                </c:pt>
                <c:pt idx="4">
                  <c:v>6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'10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'10 categories'!$D$6:$M$6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'10 categories'!$D$8:$M$8</c:f>
              <c:numCache>
                <c:formatCode>General</c:formatCode>
                <c:ptCount val="10"/>
                <c:pt idx="0">
                  <c:v>2</c:v>
                </c:pt>
                <c:pt idx="1">
                  <c:v>6</c:v>
                </c:pt>
                <c:pt idx="2">
                  <c:v>12</c:v>
                </c:pt>
                <c:pt idx="3">
                  <c:v>27</c:v>
                </c:pt>
                <c:pt idx="4">
                  <c:v>20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3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070096"/>
        <c:axId val="-1986065744"/>
      </c:barChart>
      <c:catAx>
        <c:axId val="-198607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5744"/>
        <c:crosses val="autoZero"/>
        <c:auto val="1"/>
        <c:lblAlgn val="ctr"/>
        <c:lblOffset val="100"/>
        <c:noMultiLvlLbl val="0"/>
      </c:catAx>
      <c:valAx>
        <c:axId val="-1986065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70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'3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'3 categories'!$S$6:$U$6</c:f>
              <c:strCache>
                <c:ptCount val="3"/>
                <c:pt idx="0">
                  <c:v>Agree</c:v>
                </c:pt>
                <c:pt idx="1">
                  <c:v>Neutral</c:v>
                </c:pt>
                <c:pt idx="2">
                  <c:v>Disagree</c:v>
                </c:pt>
              </c:strCache>
            </c:strRef>
          </c:cat>
          <c:val>
            <c:numRef>
              <c:f>'3 categories'!$S$13:$U$13</c:f>
              <c:numCache>
                <c:formatCode>General</c:formatCode>
                <c:ptCount val="3"/>
                <c:pt idx="0">
                  <c:v>0.74285714285714288</c:v>
                </c:pt>
                <c:pt idx="1">
                  <c:v>0.82857142857142863</c:v>
                </c:pt>
                <c:pt idx="2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'3 categories'!$S$6:$U$6</c:f>
              <c:strCache>
                <c:ptCount val="3"/>
                <c:pt idx="0">
                  <c:v>Agree</c:v>
                </c:pt>
                <c:pt idx="1">
                  <c:v>Neutral</c:v>
                </c:pt>
                <c:pt idx="2">
                  <c:v>Disagree</c:v>
                </c:pt>
              </c:strCache>
            </c:strRef>
          </c:cat>
          <c:val>
            <c:numRef>
              <c:f>'3 categories'!$S$14:$U$14</c:f>
              <c:numCache>
                <c:formatCode>General</c:formatCode>
                <c:ptCount val="3"/>
                <c:pt idx="0">
                  <c:v>0.43103448275862066</c:v>
                </c:pt>
                <c:pt idx="1">
                  <c:v>0.67241379310344829</c:v>
                </c:pt>
                <c:pt idx="2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62300608"/>
        <c:axId val="-62300064"/>
      </c:lineChart>
      <c:catAx>
        <c:axId val="-6230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300064"/>
        <c:crosses val="autoZero"/>
        <c:auto val="1"/>
        <c:lblAlgn val="ctr"/>
        <c:lblOffset val="100"/>
        <c:noMultiLvlLbl val="0"/>
      </c:catAx>
      <c:valAx>
        <c:axId val="-6230006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30060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'10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'10 categories'!$S$6:$AB$6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'10 categories'!$S$13:$AB$13</c:f>
              <c:numCache>
                <c:formatCode>General</c:formatCode>
                <c:ptCount val="10"/>
                <c:pt idx="0">
                  <c:v>0.08</c:v>
                </c:pt>
                <c:pt idx="1">
                  <c:v>0.24</c:v>
                </c:pt>
                <c:pt idx="2">
                  <c:v>0.59</c:v>
                </c:pt>
                <c:pt idx="3">
                  <c:v>0.73</c:v>
                </c:pt>
                <c:pt idx="4">
                  <c:v>0.79</c:v>
                </c:pt>
                <c:pt idx="5">
                  <c:v>0.81</c:v>
                </c:pt>
                <c:pt idx="6">
                  <c:v>0.88</c:v>
                </c:pt>
                <c:pt idx="7">
                  <c:v>0.98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'10 categories'!$S$6:$AB$6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'10 categories'!$S$14:$AB$14</c:f>
              <c:numCache>
                <c:formatCode>General</c:formatCode>
                <c:ptCount val="10"/>
                <c:pt idx="0">
                  <c:v>0.02</c:v>
                </c:pt>
                <c:pt idx="1">
                  <c:v>0.08</c:v>
                </c:pt>
                <c:pt idx="2">
                  <c:v>0.2</c:v>
                </c:pt>
                <c:pt idx="3">
                  <c:v>0.47</c:v>
                </c:pt>
                <c:pt idx="4">
                  <c:v>0.67</c:v>
                </c:pt>
                <c:pt idx="5">
                  <c:v>0.78</c:v>
                </c:pt>
                <c:pt idx="6">
                  <c:v>0.86</c:v>
                </c:pt>
                <c:pt idx="7">
                  <c:v>0.96</c:v>
                </c:pt>
                <c:pt idx="8">
                  <c:v>0.99</c:v>
                </c:pt>
                <c:pt idx="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066832"/>
        <c:axId val="-1986062480"/>
      </c:lineChart>
      <c:catAx>
        <c:axId val="-198606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2480"/>
        <c:crosses val="autoZero"/>
        <c:auto val="1"/>
        <c:lblAlgn val="ctr"/>
        <c:lblOffset val="100"/>
        <c:noMultiLvlLbl val="0"/>
      </c:catAx>
      <c:valAx>
        <c:axId val="-19860624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68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1975298611941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'11 categories'!$D$6:$N$6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</c:strCache>
            </c:strRef>
          </c:cat>
          <c:val>
            <c:numRef>
              <c:f>'11 categories'!$D$7:$N$7</c:f>
              <c:numCache>
                <c:formatCode>General</c:formatCode>
                <c:ptCount val="11"/>
                <c:pt idx="0">
                  <c:v>8</c:v>
                </c:pt>
                <c:pt idx="1">
                  <c:v>16</c:v>
                </c:pt>
                <c:pt idx="2">
                  <c:v>5</c:v>
                </c:pt>
                <c:pt idx="3">
                  <c:v>35</c:v>
                </c:pt>
                <c:pt idx="4">
                  <c:v>14</c:v>
                </c:pt>
                <c:pt idx="5">
                  <c:v>6</c:v>
                </c:pt>
                <c:pt idx="6">
                  <c:v>2</c:v>
                </c:pt>
                <c:pt idx="7">
                  <c:v>7</c:v>
                </c:pt>
                <c:pt idx="8">
                  <c:v>10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'11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'11 categories'!$D$6:$N$6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</c:strCache>
            </c:strRef>
          </c:cat>
          <c:val>
            <c:numRef>
              <c:f>'11 categories'!$D$8:$N$8</c:f>
              <c:numCache>
                <c:formatCode>General</c:formatCode>
                <c:ptCount val="11"/>
                <c:pt idx="0">
                  <c:v>2</c:v>
                </c:pt>
                <c:pt idx="1">
                  <c:v>6</c:v>
                </c:pt>
                <c:pt idx="2">
                  <c:v>5</c:v>
                </c:pt>
                <c:pt idx="3">
                  <c:v>12</c:v>
                </c:pt>
                <c:pt idx="4">
                  <c:v>27</c:v>
                </c:pt>
                <c:pt idx="5">
                  <c:v>20</c:v>
                </c:pt>
                <c:pt idx="6">
                  <c:v>11</c:v>
                </c:pt>
                <c:pt idx="7">
                  <c:v>8</c:v>
                </c:pt>
                <c:pt idx="8">
                  <c:v>10</c:v>
                </c:pt>
                <c:pt idx="9">
                  <c:v>3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066288"/>
        <c:axId val="-1986064656"/>
      </c:barChart>
      <c:catAx>
        <c:axId val="-198606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4656"/>
        <c:crosses val="autoZero"/>
        <c:auto val="1"/>
        <c:lblAlgn val="ctr"/>
        <c:lblOffset val="100"/>
        <c:noMultiLvlLbl val="0"/>
      </c:catAx>
      <c:valAx>
        <c:axId val="-1986064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6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'11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'11 categories'!$S$6:$AC$6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</c:strCache>
            </c:strRef>
          </c:cat>
          <c:val>
            <c:numRef>
              <c:f>'11 categories'!$S$13:$AC$13</c:f>
              <c:numCache>
                <c:formatCode>General</c:formatCode>
                <c:ptCount val="11"/>
                <c:pt idx="0">
                  <c:v>7.6190476190476197E-2</c:v>
                </c:pt>
                <c:pt idx="1">
                  <c:v>0.22857142857142856</c:v>
                </c:pt>
                <c:pt idx="2">
                  <c:v>0.27619047619047621</c:v>
                </c:pt>
                <c:pt idx="3">
                  <c:v>0.60952380952380958</c:v>
                </c:pt>
                <c:pt idx="4">
                  <c:v>0.74285714285714288</c:v>
                </c:pt>
                <c:pt idx="5">
                  <c:v>0.8</c:v>
                </c:pt>
                <c:pt idx="6">
                  <c:v>0.81904761904761902</c:v>
                </c:pt>
                <c:pt idx="7">
                  <c:v>0.88571428571428568</c:v>
                </c:pt>
                <c:pt idx="8">
                  <c:v>0.98095238095238091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'11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'11 categories'!$S$6:$AC$6</c:f>
              <c:strCache>
                <c:ptCount val="11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</c:strCache>
            </c:strRef>
          </c:cat>
          <c:val>
            <c:numRef>
              <c:f>'11 categories'!$S$14:$AC$14</c:f>
              <c:numCache>
                <c:formatCode>General</c:formatCode>
                <c:ptCount val="11"/>
                <c:pt idx="0">
                  <c:v>1.9047619047619049E-2</c:v>
                </c:pt>
                <c:pt idx="1">
                  <c:v>7.6190476190476197E-2</c:v>
                </c:pt>
                <c:pt idx="2">
                  <c:v>0.12380952380952381</c:v>
                </c:pt>
                <c:pt idx="3">
                  <c:v>0.23809523809523808</c:v>
                </c:pt>
                <c:pt idx="4">
                  <c:v>0.49523809523809526</c:v>
                </c:pt>
                <c:pt idx="5">
                  <c:v>0.68571428571428572</c:v>
                </c:pt>
                <c:pt idx="6">
                  <c:v>0.79047619047619044</c:v>
                </c:pt>
                <c:pt idx="7">
                  <c:v>0.8666666666666667</c:v>
                </c:pt>
                <c:pt idx="8">
                  <c:v>0.96190476190476193</c:v>
                </c:pt>
                <c:pt idx="9">
                  <c:v>0.99047619047619051</c:v>
                </c:pt>
                <c:pt idx="1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056496"/>
        <c:axId val="-1986055952"/>
      </c:lineChart>
      <c:catAx>
        <c:axId val="-198605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55952"/>
        <c:crosses val="autoZero"/>
        <c:auto val="1"/>
        <c:lblAlgn val="ctr"/>
        <c:lblOffset val="100"/>
        <c:noMultiLvlLbl val="0"/>
      </c:catAx>
      <c:valAx>
        <c:axId val="-198605595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5649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501975298611941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'12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'12 categories'!$D$6:$O$6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'12 categories'!$D$7:$O$7</c:f>
              <c:numCache>
                <c:formatCode>General</c:formatCode>
                <c:ptCount val="12"/>
                <c:pt idx="0">
                  <c:v>4</c:v>
                </c:pt>
                <c:pt idx="1">
                  <c:v>8</c:v>
                </c:pt>
                <c:pt idx="2">
                  <c:v>15</c:v>
                </c:pt>
                <c:pt idx="3">
                  <c:v>21</c:v>
                </c:pt>
                <c:pt idx="4">
                  <c:v>17</c:v>
                </c:pt>
                <c:pt idx="5">
                  <c:v>10</c:v>
                </c:pt>
                <c:pt idx="6">
                  <c:v>7</c:v>
                </c:pt>
                <c:pt idx="7">
                  <c:v>1</c:v>
                </c:pt>
                <c:pt idx="8">
                  <c:v>5</c:v>
                </c:pt>
                <c:pt idx="9">
                  <c:v>8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strRef>
              <c:f>'12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'12 categories'!$D$6:$O$6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'12 categories'!$D$8:$O$8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15</c:v>
                </c:pt>
                <c:pt idx="4">
                  <c:v>23</c:v>
                </c:pt>
                <c:pt idx="5">
                  <c:v>19</c:v>
                </c:pt>
                <c:pt idx="6">
                  <c:v>12</c:v>
                </c:pt>
                <c:pt idx="7">
                  <c:v>5</c:v>
                </c:pt>
                <c:pt idx="8">
                  <c:v>3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063568"/>
        <c:axId val="-1986063024"/>
      </c:barChart>
      <c:catAx>
        <c:axId val="-198606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3024"/>
        <c:crosses val="autoZero"/>
        <c:auto val="1"/>
        <c:lblAlgn val="ctr"/>
        <c:lblOffset val="100"/>
        <c:noMultiLvlLbl val="0"/>
      </c:catAx>
      <c:valAx>
        <c:axId val="-1986063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0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'12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'12 categories'!$S$6:$AD$6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'12 categories'!$S$13:$AD$13</c:f>
              <c:numCache>
                <c:formatCode>General</c:formatCode>
                <c:ptCount val="12"/>
                <c:pt idx="0">
                  <c:v>0.04</c:v>
                </c:pt>
                <c:pt idx="1">
                  <c:v>0.12</c:v>
                </c:pt>
                <c:pt idx="2">
                  <c:v>0.27</c:v>
                </c:pt>
                <c:pt idx="3">
                  <c:v>0.48</c:v>
                </c:pt>
                <c:pt idx="4">
                  <c:v>0.65</c:v>
                </c:pt>
                <c:pt idx="5">
                  <c:v>0.75</c:v>
                </c:pt>
                <c:pt idx="6">
                  <c:v>0.82</c:v>
                </c:pt>
                <c:pt idx="7">
                  <c:v>0.83</c:v>
                </c:pt>
                <c:pt idx="8">
                  <c:v>0.88</c:v>
                </c:pt>
                <c:pt idx="9">
                  <c:v>0.96</c:v>
                </c:pt>
                <c:pt idx="10">
                  <c:v>0.99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'12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'12 categories'!$S$6:$AD$6</c:f>
              <c:strCache>
                <c:ptCount val="12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</c:strCache>
            </c:strRef>
          </c:cat>
          <c:val>
            <c:numRef>
              <c:f>'12 categories'!$S$14:$AD$14</c:f>
              <c:numCache>
                <c:formatCode>General</c:formatCode>
                <c:ptCount val="12"/>
                <c:pt idx="0">
                  <c:v>0.01</c:v>
                </c:pt>
                <c:pt idx="1">
                  <c:v>0.05</c:v>
                </c:pt>
                <c:pt idx="2">
                  <c:v>0.12</c:v>
                </c:pt>
                <c:pt idx="3">
                  <c:v>0.27</c:v>
                </c:pt>
                <c:pt idx="4">
                  <c:v>0.5</c:v>
                </c:pt>
                <c:pt idx="5">
                  <c:v>0.69</c:v>
                </c:pt>
                <c:pt idx="6">
                  <c:v>0.81</c:v>
                </c:pt>
                <c:pt idx="7">
                  <c:v>0.86</c:v>
                </c:pt>
                <c:pt idx="8">
                  <c:v>0.89</c:v>
                </c:pt>
                <c:pt idx="9">
                  <c:v>0.95</c:v>
                </c:pt>
                <c:pt idx="10">
                  <c:v>0.98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7355680"/>
        <c:axId val="-1987358400"/>
      </c:lineChart>
      <c:catAx>
        <c:axId val="-198735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58400"/>
        <c:crosses val="autoZero"/>
        <c:auto val="1"/>
        <c:lblAlgn val="ctr"/>
        <c:lblOffset val="100"/>
        <c:noMultiLvlLbl val="0"/>
      </c:catAx>
      <c:valAx>
        <c:axId val="-198735840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556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412056730690563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 categories'!$D$6:$F$6</c:f>
              <c:strCache>
                <c:ptCount val="3"/>
                <c:pt idx="0">
                  <c:v>Agree</c:v>
                </c:pt>
                <c:pt idx="1">
                  <c:v>Neutral</c:v>
                </c:pt>
                <c:pt idx="2">
                  <c:v>Disagree</c:v>
                </c:pt>
              </c:strCache>
            </c:strRef>
          </c:cat>
          <c:val>
            <c:numRef>
              <c:f>'3 categories'!$D$7:$F$7</c:f>
              <c:numCache>
                <c:formatCode>General</c:formatCode>
                <c:ptCount val="3"/>
                <c:pt idx="0">
                  <c:v>52</c:v>
                </c:pt>
                <c:pt idx="1">
                  <c:v>6</c:v>
                </c:pt>
                <c:pt idx="2">
                  <c:v>12</c:v>
                </c:pt>
              </c:numCache>
            </c:numRef>
          </c:val>
        </c:ser>
        <c:ser>
          <c:idx val="1"/>
          <c:order val="1"/>
          <c:tx>
            <c:strRef>
              <c:f>'3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'3 categories'!$D$6:$F$6</c:f>
              <c:strCache>
                <c:ptCount val="3"/>
                <c:pt idx="0">
                  <c:v>Agree</c:v>
                </c:pt>
                <c:pt idx="1">
                  <c:v>Neutral</c:v>
                </c:pt>
                <c:pt idx="2">
                  <c:v>Disagree</c:v>
                </c:pt>
              </c:strCache>
            </c:strRef>
          </c:cat>
          <c:val>
            <c:numRef>
              <c:f>'3 categories'!$D$8:$F$8</c:f>
              <c:numCache>
                <c:formatCode>General</c:formatCode>
                <c:ptCount val="3"/>
                <c:pt idx="0">
                  <c:v>25</c:v>
                </c:pt>
                <c:pt idx="1">
                  <c:v>14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4986432"/>
        <c:axId val="-1987357312"/>
      </c:barChart>
      <c:catAx>
        <c:axId val="-7498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57312"/>
        <c:crosses val="autoZero"/>
        <c:auto val="1"/>
        <c:lblAlgn val="ctr"/>
        <c:lblOffset val="100"/>
        <c:noMultiLvlLbl val="0"/>
      </c:catAx>
      <c:valAx>
        <c:axId val="-19873573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86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12056730690563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 categories'!$D$6:$G$6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'4 categories'!$D$7:$G$7</c:f>
              <c:numCache>
                <c:formatCode>General</c:formatCode>
                <c:ptCount val="4"/>
                <c:pt idx="0">
                  <c:v>16</c:v>
                </c:pt>
                <c:pt idx="1">
                  <c:v>39</c:v>
                </c:pt>
                <c:pt idx="2">
                  <c:v>25</c:v>
                </c:pt>
                <c:pt idx="3">
                  <c:v>45</c:v>
                </c:pt>
              </c:numCache>
            </c:numRef>
          </c:val>
        </c:ser>
        <c:ser>
          <c:idx val="1"/>
          <c:order val="1"/>
          <c:tx>
            <c:strRef>
              <c:f>'4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'4 categories'!$D$6:$G$6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'4 categories'!$D$8:$G$8</c:f>
              <c:numCache>
                <c:formatCode>General</c:formatCode>
                <c:ptCount val="4"/>
                <c:pt idx="0">
                  <c:v>22</c:v>
                </c:pt>
                <c:pt idx="1">
                  <c:v>51</c:v>
                </c:pt>
                <c:pt idx="2">
                  <c:v>21</c:v>
                </c:pt>
                <c:pt idx="3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2297344"/>
        <c:axId val="-62308224"/>
      </c:barChart>
      <c:catAx>
        <c:axId val="-6229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308224"/>
        <c:crosses val="autoZero"/>
        <c:auto val="1"/>
        <c:lblAlgn val="ctr"/>
        <c:lblOffset val="100"/>
        <c:noMultiLvlLbl val="0"/>
      </c:catAx>
      <c:valAx>
        <c:axId val="-62308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297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5325630259590164"/>
        </c:manualLayout>
      </c:layout>
      <c:lineChart>
        <c:grouping val="standard"/>
        <c:varyColors val="0"/>
        <c:ser>
          <c:idx val="0"/>
          <c:order val="0"/>
          <c:tx>
            <c:strRef>
              <c:f>'4 categories'!$R$13</c:f>
              <c:strCache>
                <c:ptCount val="1"/>
                <c:pt idx="0">
                  <c:v>Male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'4 categories'!$S$6:$V$6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'4 categories'!$S$13:$V$13</c:f>
              <c:numCache>
                <c:formatCode>General</c:formatCode>
                <c:ptCount val="4"/>
                <c:pt idx="0">
                  <c:v>0.128</c:v>
                </c:pt>
                <c:pt idx="1">
                  <c:v>0.44</c:v>
                </c:pt>
                <c:pt idx="2">
                  <c:v>0.64</c:v>
                </c:pt>
                <c:pt idx="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'4 categories'!$R$14</c:f>
              <c:strCache>
                <c:ptCount val="1"/>
                <c:pt idx="0">
                  <c:v>Female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'4 categories'!$S$6:$V$6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'4 categories'!$S$14:$V$14</c:f>
              <c:numCache>
                <c:formatCode>General</c:formatCode>
                <c:ptCount val="4"/>
                <c:pt idx="0">
                  <c:v>0.20560747663551401</c:v>
                </c:pt>
                <c:pt idx="1">
                  <c:v>0.68224299065420557</c:v>
                </c:pt>
                <c:pt idx="2">
                  <c:v>0.87850467289719625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62293536"/>
        <c:axId val="-62292992"/>
      </c:lineChart>
      <c:catAx>
        <c:axId val="-6229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292992"/>
        <c:crosses val="autoZero"/>
        <c:auto val="1"/>
        <c:lblAlgn val="ctr"/>
        <c:lblOffset val="100"/>
        <c:noMultiLvlLbl val="0"/>
      </c:catAx>
      <c:valAx>
        <c:axId val="-6229299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29353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12056730690563"/>
          <c:y val="7.7892325315005728E-2"/>
          <c:w val="0.79591575186931052"/>
          <c:h val="0.5616285593166834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 categories'!$B$7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'4 categories'!$L$6:$O$6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'4 categories'!$L$7:$O$7</c:f>
              <c:numCache>
                <c:formatCode>General</c:formatCode>
                <c:ptCount val="4"/>
                <c:pt idx="0">
                  <c:v>12.8</c:v>
                </c:pt>
                <c:pt idx="1">
                  <c:v>31.2</c:v>
                </c:pt>
                <c:pt idx="2">
                  <c:v>20</c:v>
                </c:pt>
                <c:pt idx="3">
                  <c:v>36</c:v>
                </c:pt>
              </c:numCache>
            </c:numRef>
          </c:val>
        </c:ser>
        <c:ser>
          <c:idx val="1"/>
          <c:order val="1"/>
          <c:tx>
            <c:strRef>
              <c:f>'4 categories'!$B$8</c:f>
              <c:strCache>
                <c:ptCount val="1"/>
                <c:pt idx="0">
                  <c:v>Female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'4 categories'!$L$6:$O$6</c:f>
              <c:strCache>
                <c:ptCount val="4"/>
                <c:pt idx="0">
                  <c:v>Strongly agree</c:v>
                </c:pt>
                <c:pt idx="1">
                  <c:v>Agree</c:v>
                </c:pt>
                <c:pt idx="2">
                  <c:v>Disagree</c:v>
                </c:pt>
                <c:pt idx="3">
                  <c:v>Strongly disagree</c:v>
                </c:pt>
              </c:strCache>
            </c:strRef>
          </c:cat>
          <c:val>
            <c:numRef>
              <c:f>'4 categories'!$L$8:$O$8</c:f>
              <c:numCache>
                <c:formatCode>General</c:formatCode>
                <c:ptCount val="4"/>
                <c:pt idx="0">
                  <c:v>20.5607476635514</c:v>
                </c:pt>
                <c:pt idx="1">
                  <c:v>47.663551401869157</c:v>
                </c:pt>
                <c:pt idx="2">
                  <c:v>19.626168224299064</c:v>
                </c:pt>
                <c:pt idx="3">
                  <c:v>12.149532710280374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4988608"/>
        <c:axId val="-74991872"/>
      </c:barChart>
      <c:catAx>
        <c:axId val="-74988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91872"/>
        <c:crosses val="autoZero"/>
        <c:auto val="1"/>
        <c:lblAlgn val="ctr"/>
        <c:lblOffset val="100"/>
        <c:noMultiLvlLbl val="0"/>
      </c:catAx>
      <c:valAx>
        <c:axId val="-74991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88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16847350602913"/>
          <c:y val="7.7892325315005728E-2"/>
          <c:w val="0.84798721898893059"/>
          <c:h val="0.62248441793645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 categories'!$B$11</c:f>
              <c:strCache>
                <c:ptCount val="1"/>
                <c:pt idx="0">
                  <c:v>Locals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'5 categories'!$D$10:$H$10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'5 categories'!$D$11:$H$11</c:f>
              <c:numCache>
                <c:formatCode>General</c:formatCode>
                <c:ptCount val="5"/>
                <c:pt idx="0">
                  <c:v>12</c:v>
                </c:pt>
                <c:pt idx="1">
                  <c:v>14</c:v>
                </c:pt>
                <c:pt idx="2">
                  <c:v>15</c:v>
                </c:pt>
                <c:pt idx="3">
                  <c:v>6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strRef>
              <c:f>'5 categories'!$B$12</c:f>
              <c:strCache>
                <c:ptCount val="1"/>
                <c:pt idx="0">
                  <c:v>Tourists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'5 categories'!$D$10:$H$10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'5 categories'!$D$12:$H$12</c:f>
              <c:numCache>
                <c:formatCode>General</c:formatCode>
                <c:ptCount val="5"/>
                <c:pt idx="0">
                  <c:v>4</c:v>
                </c:pt>
                <c:pt idx="1">
                  <c:v>7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6937696"/>
        <c:axId val="-1986933344"/>
      </c:barChart>
      <c:catAx>
        <c:axId val="-1986937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3344"/>
        <c:crosses val="autoZero"/>
        <c:auto val="1"/>
        <c:lblAlgn val="ctr"/>
        <c:lblOffset val="100"/>
        <c:noMultiLvlLbl val="0"/>
      </c:catAx>
      <c:valAx>
        <c:axId val="-19869333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Frequency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37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397291642892469"/>
          <c:y val="0.89959116663334937"/>
          <c:w val="0.48012294115409487"/>
          <c:h val="7.73201287983331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00508001016002"/>
          <c:y val="9.0548904607798478E-2"/>
          <c:w val="0.7905226766009088"/>
          <c:h val="0.59520966948756904"/>
        </c:manualLayout>
      </c:layout>
      <c:lineChart>
        <c:grouping val="standard"/>
        <c:varyColors val="0"/>
        <c:ser>
          <c:idx val="0"/>
          <c:order val="0"/>
          <c:tx>
            <c:strRef>
              <c:f>'5 categories'!$V$17</c:f>
              <c:strCache>
                <c:ptCount val="1"/>
                <c:pt idx="0">
                  <c:v>Locals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'5 categories'!$W$10:$AA$10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'5 categories'!$W$17:$AA$17</c:f>
              <c:numCache>
                <c:formatCode>General</c:formatCode>
                <c:ptCount val="5"/>
                <c:pt idx="0">
                  <c:v>0.24</c:v>
                </c:pt>
                <c:pt idx="1">
                  <c:v>0.52</c:v>
                </c:pt>
                <c:pt idx="2">
                  <c:v>0.82</c:v>
                </c:pt>
                <c:pt idx="3">
                  <c:v>0.94</c:v>
                </c:pt>
                <c:pt idx="4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 categories'!$V$18</c:f>
              <c:strCache>
                <c:ptCount val="1"/>
                <c:pt idx="0">
                  <c:v>Tourists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'5 categories'!$W$10:$AA$10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'5 categories'!$W$18:$AA$18</c:f>
              <c:numCache>
                <c:formatCode>General</c:formatCode>
                <c:ptCount val="5"/>
                <c:pt idx="0">
                  <c:v>0.08</c:v>
                </c:pt>
                <c:pt idx="1">
                  <c:v>0.22</c:v>
                </c:pt>
                <c:pt idx="2">
                  <c:v>0.46</c:v>
                </c:pt>
                <c:pt idx="3">
                  <c:v>0.72</c:v>
                </c:pt>
                <c:pt idx="4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86928448"/>
        <c:axId val="-1986940960"/>
      </c:lineChart>
      <c:catAx>
        <c:axId val="-198692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40960"/>
        <c:crosses val="autoZero"/>
        <c:auto val="1"/>
        <c:lblAlgn val="ctr"/>
        <c:lblOffset val="100"/>
        <c:noMultiLvlLbl val="0"/>
      </c:catAx>
      <c:valAx>
        <c:axId val="-198694096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proportion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69284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925228096487937"/>
          <c:y val="0.84769875488930757"/>
          <c:w val="0.66352112235970506"/>
          <c:h val="0.14784550201055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16847350602913"/>
          <c:y val="7.7892325315005728E-2"/>
          <c:w val="0.84798721898893059"/>
          <c:h val="0.622484417936454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'5 categories'!$B$11</c:f>
              <c:strCache>
                <c:ptCount val="1"/>
                <c:pt idx="0">
                  <c:v>Locals</c:v>
                </c:pt>
              </c:strCache>
            </c:strRef>
          </c:tx>
          <c:spPr>
            <a:solidFill>
              <a:schemeClr val="accent3">
                <a:shade val="76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'5 categories'!$L$10:$P$10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'5 categories'!$L$11:$P$11</c:f>
              <c:numCache>
                <c:formatCode>0.00</c:formatCode>
                <c:ptCount val="5"/>
                <c:pt idx="0">
                  <c:v>24</c:v>
                </c:pt>
                <c:pt idx="1">
                  <c:v>28.000000000000004</c:v>
                </c:pt>
                <c:pt idx="2">
                  <c:v>30</c:v>
                </c:pt>
                <c:pt idx="3">
                  <c:v>12</c:v>
                </c:pt>
                <c:pt idx="4">
                  <c:v>6</c:v>
                </c:pt>
              </c:numCache>
            </c:numRef>
          </c:val>
        </c:ser>
        <c:ser>
          <c:idx val="1"/>
          <c:order val="1"/>
          <c:tx>
            <c:strRef>
              <c:f>'5 categories'!$B$12</c:f>
              <c:strCache>
                <c:ptCount val="1"/>
                <c:pt idx="0">
                  <c:v>Tourists</c:v>
                </c:pt>
              </c:strCache>
            </c:strRef>
          </c:tx>
          <c:spPr>
            <a:solidFill>
              <a:schemeClr val="accent3">
                <a:tint val="77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'5 categories'!$L$10:$P$10</c:f>
              <c:strCache>
                <c:ptCount val="5"/>
                <c:pt idx="0">
                  <c:v>Strongly agree</c:v>
                </c:pt>
                <c:pt idx="1">
                  <c:v>Agree</c:v>
                </c:pt>
                <c:pt idx="2">
                  <c:v>Neutral</c:v>
                </c:pt>
                <c:pt idx="3">
                  <c:v>Disagree</c:v>
                </c:pt>
                <c:pt idx="4">
                  <c:v>Strongly disagree</c:v>
                </c:pt>
              </c:strCache>
            </c:strRef>
          </c:cat>
          <c:val>
            <c:numRef>
              <c:f>'5 categories'!$L$12:$P$12</c:f>
              <c:numCache>
                <c:formatCode>0.00</c:formatCode>
                <c:ptCount val="5"/>
                <c:pt idx="0">
                  <c:v>8</c:v>
                </c:pt>
                <c:pt idx="1">
                  <c:v>14.000000000000002</c:v>
                </c:pt>
                <c:pt idx="2">
                  <c:v>24</c:v>
                </c:pt>
                <c:pt idx="3">
                  <c:v>26</c:v>
                </c:pt>
                <c:pt idx="4">
                  <c:v>28.000000000000004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7353504"/>
        <c:axId val="-1987352960"/>
      </c:barChart>
      <c:catAx>
        <c:axId val="-198735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52960"/>
        <c:crosses val="autoZero"/>
        <c:auto val="1"/>
        <c:lblAlgn val="ctr"/>
        <c:lblOffset val="100"/>
        <c:noMultiLvlLbl val="0"/>
      </c:catAx>
      <c:valAx>
        <c:axId val="-19873529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53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397291642892469"/>
          <c:y val="0.89959116663334937"/>
          <c:w val="0.48012294115409487"/>
          <c:h val="7.73201287983331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0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4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7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14</xdr:row>
      <xdr:rowOff>233361</xdr:rowOff>
    </xdr:from>
    <xdr:to>
      <xdr:col>11</xdr:col>
      <xdr:colOff>161925</xdr:colOff>
      <xdr:row>29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152400</xdr:colOff>
      <xdr:row>30</xdr:row>
      <xdr:rowOff>0</xdr:rowOff>
    </xdr:from>
    <xdr:to>
      <xdr:col>16</xdr:col>
      <xdr:colOff>600074</xdr:colOff>
      <xdr:row>44</xdr:row>
      <xdr:rowOff>104775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233361</xdr:rowOff>
    </xdr:from>
    <xdr:to>
      <xdr:col>11</xdr:col>
      <xdr:colOff>114300</xdr:colOff>
      <xdr:row>28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14</xdr:row>
      <xdr:rowOff>233361</xdr:rowOff>
    </xdr:from>
    <xdr:to>
      <xdr:col>11</xdr:col>
      <xdr:colOff>161925</xdr:colOff>
      <xdr:row>29</xdr:row>
      <xdr:rowOff>66675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152400</xdr:colOff>
      <xdr:row>30</xdr:row>
      <xdr:rowOff>0</xdr:rowOff>
    </xdr:from>
    <xdr:to>
      <xdr:col>16</xdr:col>
      <xdr:colOff>600074</xdr:colOff>
      <xdr:row>44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18</xdr:row>
      <xdr:rowOff>223838</xdr:rowOff>
    </xdr:from>
    <xdr:to>
      <xdr:col>16</xdr:col>
      <xdr:colOff>247650</xdr:colOff>
      <xdr:row>32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304801</xdr:colOff>
      <xdr:row>18</xdr:row>
      <xdr:rowOff>233362</xdr:rowOff>
    </xdr:from>
    <xdr:to>
      <xdr:col>10</xdr:col>
      <xdr:colOff>571501</xdr:colOff>
      <xdr:row>32</xdr:row>
      <xdr:rowOff>76201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66675</xdr:colOff>
      <xdr:row>32</xdr:row>
      <xdr:rowOff>180975</xdr:rowOff>
    </xdr:from>
    <xdr:to>
      <xdr:col>16</xdr:col>
      <xdr:colOff>304800</xdr:colOff>
      <xdr:row>47</xdr:row>
      <xdr:rowOff>4763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247649</xdr:colOff>
      <xdr:row>3</xdr:row>
      <xdr:rowOff>38097</xdr:rowOff>
    </xdr:from>
    <xdr:ext cx="5648325" cy="714377"/>
    <xdr:sp macro="" textlink="">
      <xdr:nvSpPr>
        <xdr:cNvPr id="5" name="TextBox 4"/>
        <xdr:cNvSpPr txBox="1"/>
      </xdr:nvSpPr>
      <xdr:spPr>
        <a:xfrm>
          <a:off x="247649" y="609597"/>
          <a:ext cx="5648325" cy="714377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400"/>
            <a:t>Change the names of the groups and categories and enter the counts (not percentages) in the box below. Coding values can also be changed</a:t>
          </a:r>
        </a:p>
      </xdr:txBody>
    </xdr:sp>
    <xdr:clientData/>
  </xdr:oneCellAnchor>
  <xdr:twoCellAnchor>
    <xdr:from>
      <xdr:col>15</xdr:col>
      <xdr:colOff>114300</xdr:colOff>
      <xdr:row>12</xdr:row>
      <xdr:rowOff>171450</xdr:rowOff>
    </xdr:from>
    <xdr:to>
      <xdr:col>19</xdr:col>
      <xdr:colOff>161925</xdr:colOff>
      <xdr:row>18</xdr:row>
      <xdr:rowOff>0</xdr:rowOff>
    </xdr:to>
    <xdr:sp macro="" textlink="">
      <xdr:nvSpPr>
        <xdr:cNvPr id="6" name="TextBox 5"/>
        <xdr:cNvSpPr txBox="1"/>
      </xdr:nvSpPr>
      <xdr:spPr>
        <a:xfrm>
          <a:off x="9048750" y="2800350"/>
          <a:ext cx="2486025" cy="1095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If D-max</a:t>
          </a:r>
          <a:r>
            <a:rPr lang="en-GB" sz="1100" baseline="0"/>
            <a:t> expressed as a proportion (the Effect size) is larger than these critical values the difference is significant at that level of significance. These are estimates based on the chi square distribution.</a:t>
          </a:r>
          <a:endParaRPr lang="en-GB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14</xdr:row>
      <xdr:rowOff>233361</xdr:rowOff>
    </xdr:from>
    <xdr:to>
      <xdr:col>11</xdr:col>
      <xdr:colOff>85725</xdr:colOff>
      <xdr:row>28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171450</xdr:colOff>
      <xdr:row>30</xdr:row>
      <xdr:rowOff>0</xdr:rowOff>
    </xdr:from>
    <xdr:to>
      <xdr:col>17</xdr:col>
      <xdr:colOff>9524</xdr:colOff>
      <xdr:row>44</xdr:row>
      <xdr:rowOff>104775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233361</xdr:rowOff>
    </xdr:from>
    <xdr:to>
      <xdr:col>11</xdr:col>
      <xdr:colOff>114300</xdr:colOff>
      <xdr:row>28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233361</xdr:rowOff>
    </xdr:from>
    <xdr:to>
      <xdr:col>11</xdr:col>
      <xdr:colOff>114300</xdr:colOff>
      <xdr:row>28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233361</xdr:rowOff>
    </xdr:from>
    <xdr:to>
      <xdr:col>11</xdr:col>
      <xdr:colOff>114300</xdr:colOff>
      <xdr:row>28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233361</xdr:rowOff>
    </xdr:from>
    <xdr:to>
      <xdr:col>11</xdr:col>
      <xdr:colOff>114300</xdr:colOff>
      <xdr:row>28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161925</xdr:colOff>
      <xdr:row>14</xdr:row>
      <xdr:rowOff>233362</xdr:rowOff>
    </xdr:from>
    <xdr:to>
      <xdr:col>16</xdr:col>
      <xdr:colOff>609599</xdr:colOff>
      <xdr:row>28</xdr:row>
      <xdr:rowOff>119062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466725</xdr:colOff>
      <xdr:row>14</xdr:row>
      <xdr:rowOff>233361</xdr:rowOff>
    </xdr:from>
    <xdr:to>
      <xdr:col>11</xdr:col>
      <xdr:colOff>114300</xdr:colOff>
      <xdr:row>28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32"/>
  <sheetViews>
    <sheetView tabSelected="1" workbookViewId="0">
      <selection activeCell="K34" sqref="K34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36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36" x14ac:dyDescent="0.25">
      <c r="B3" s="30"/>
      <c r="C3" s="30"/>
      <c r="D3" s="30"/>
      <c r="E3" s="30"/>
      <c r="F3" s="30"/>
      <c r="G3" s="30"/>
      <c r="H3" s="30"/>
      <c r="I3" s="30"/>
    </row>
    <row r="4" spans="1:36" x14ac:dyDescent="0.25">
      <c r="S4" t="s">
        <v>29</v>
      </c>
    </row>
    <row r="5" spans="1:36" ht="15.75" customHeight="1" thickBot="1" x14ac:dyDescent="0.3"/>
    <row r="6" spans="1:36" ht="19.5" thickBot="1" x14ac:dyDescent="0.3">
      <c r="C6" s="18"/>
      <c r="D6" s="19" t="s">
        <v>58</v>
      </c>
      <c r="E6" s="2" t="s">
        <v>59</v>
      </c>
      <c r="F6" s="2" t="s">
        <v>60</v>
      </c>
      <c r="G6" s="13"/>
      <c r="I6" s="9" t="s">
        <v>7</v>
      </c>
      <c r="J6" s="9"/>
      <c r="K6" s="9"/>
      <c r="L6" s="9" t="str">
        <f>D6</f>
        <v>Agree</v>
      </c>
      <c r="M6" s="9" t="str">
        <f t="shared" ref="M6:N6" si="0">E6</f>
        <v>Neutral</v>
      </c>
      <c r="N6" s="9" t="str">
        <f t="shared" si="0"/>
        <v>Disagree</v>
      </c>
      <c r="O6" s="9"/>
      <c r="P6" s="9"/>
      <c r="Q6" s="13"/>
      <c r="S6" s="4" t="str">
        <f>D6</f>
        <v>Agree</v>
      </c>
      <c r="T6" s="4" t="str">
        <f>E6</f>
        <v>Neutral</v>
      </c>
      <c r="U6" s="4" t="str">
        <f>F6</f>
        <v>Disagree</v>
      </c>
      <c r="V6" s="4"/>
      <c r="W6" s="4"/>
      <c r="X6" s="4"/>
      <c r="Y6" s="2" t="s">
        <v>7</v>
      </c>
      <c r="Z6" s="4"/>
      <c r="AB6" s="4" t="str">
        <f>D6</f>
        <v>Agree</v>
      </c>
      <c r="AC6" s="4" t="str">
        <f>E6</f>
        <v>Neutral</v>
      </c>
      <c r="AD6" s="4" t="str">
        <f>F6</f>
        <v>Disagree</v>
      </c>
      <c r="AE6" s="4"/>
      <c r="AF6" s="4"/>
      <c r="AH6" t="s">
        <v>9</v>
      </c>
    </row>
    <row r="7" spans="1:36" ht="19.5" thickBot="1" x14ac:dyDescent="0.3">
      <c r="B7" s="31" t="s">
        <v>51</v>
      </c>
      <c r="C7" s="32"/>
      <c r="D7" s="12">
        <v>52</v>
      </c>
      <c r="E7" s="12">
        <v>6</v>
      </c>
      <c r="F7" s="12">
        <v>12</v>
      </c>
      <c r="G7" s="18"/>
      <c r="I7">
        <f>SUM(D7:F7)</f>
        <v>70</v>
      </c>
      <c r="K7" t="str">
        <f>B7</f>
        <v>Male</v>
      </c>
      <c r="L7" s="5">
        <f>(D7/$I7)*100</f>
        <v>74.285714285714292</v>
      </c>
      <c r="M7" s="5">
        <f t="shared" ref="M7:N7" si="1">(E7/$I7)*100</f>
        <v>8.5714285714285712</v>
      </c>
      <c r="N7" s="5">
        <f t="shared" si="1"/>
        <v>17.142857142857142</v>
      </c>
      <c r="Q7" s="13"/>
      <c r="R7" t="str">
        <f>B7</f>
        <v>Male</v>
      </c>
      <c r="S7">
        <f>D7</f>
        <v>52</v>
      </c>
      <c r="T7">
        <f>E7+S7</f>
        <v>58</v>
      </c>
      <c r="U7">
        <f>F7+T7</f>
        <v>70</v>
      </c>
      <c r="Y7" s="3">
        <f>SUM(D7:F7)</f>
        <v>70</v>
      </c>
      <c r="AA7" t="str">
        <f>B7</f>
        <v>Male</v>
      </c>
      <c r="AB7">
        <f>D7*D10</f>
        <v>52</v>
      </c>
      <c r="AC7">
        <f>E7*E10</f>
        <v>0</v>
      </c>
      <c r="AD7">
        <f>F7*F10</f>
        <v>-12</v>
      </c>
      <c r="AH7">
        <f>SUM(AB7:AD7)/Y7</f>
        <v>0.5714285714285714</v>
      </c>
      <c r="AI7" t="s">
        <v>15</v>
      </c>
      <c r="AJ7">
        <f>MAX(AH7:AH8)</f>
        <v>0.5714285714285714</v>
      </c>
    </row>
    <row r="8" spans="1:36" ht="19.5" thickBot="1" x14ac:dyDescent="0.3">
      <c r="B8" s="31" t="s">
        <v>52</v>
      </c>
      <c r="C8" s="32"/>
      <c r="D8" s="12">
        <v>25</v>
      </c>
      <c r="E8" s="12">
        <v>14</v>
      </c>
      <c r="F8" s="12">
        <v>19</v>
      </c>
      <c r="G8" s="18"/>
      <c r="I8">
        <f>SUM(D8:F8)</f>
        <v>58</v>
      </c>
      <c r="K8" t="str">
        <f>B8</f>
        <v>Female</v>
      </c>
      <c r="L8" s="5">
        <f>(D8/$I8)*100</f>
        <v>43.103448275862064</v>
      </c>
      <c r="M8" s="5">
        <f t="shared" ref="M8" si="2">(E8/$I8)*100</f>
        <v>24.137931034482758</v>
      </c>
      <c r="N8" s="5">
        <f t="shared" ref="N8" si="3">(F8/$I8)*100</f>
        <v>32.758620689655174</v>
      </c>
      <c r="Q8" s="13"/>
      <c r="R8" t="str">
        <f>B8</f>
        <v>Female</v>
      </c>
      <c r="S8">
        <f>D8</f>
        <v>25</v>
      </c>
      <c r="T8">
        <f>E8+S8</f>
        <v>39</v>
      </c>
      <c r="U8">
        <f>F8+T8</f>
        <v>58</v>
      </c>
      <c r="Y8" s="3">
        <f>SUM(D8:F8)</f>
        <v>58</v>
      </c>
      <c r="AA8" t="str">
        <f>B8</f>
        <v>Female</v>
      </c>
      <c r="AB8">
        <f>D8*D10</f>
        <v>25</v>
      </c>
      <c r="AC8">
        <f>E8*E10</f>
        <v>0</v>
      </c>
      <c r="AD8">
        <f>F8*F10</f>
        <v>-19</v>
      </c>
      <c r="AH8">
        <f>SUM(AB8:AD8)/Y8</f>
        <v>0.10344827586206896</v>
      </c>
      <c r="AI8" t="s">
        <v>16</v>
      </c>
      <c r="AJ8">
        <f>MIN(AH7:AH8)</f>
        <v>0.10344827586206896</v>
      </c>
    </row>
    <row r="9" spans="1:36" x14ac:dyDescent="0.25">
      <c r="Y9" t="s">
        <v>18</v>
      </c>
      <c r="AH9" t="s">
        <v>10</v>
      </c>
      <c r="AI9" t="s">
        <v>11</v>
      </c>
    </row>
    <row r="10" spans="1:36" ht="18.75" x14ac:dyDescent="0.3">
      <c r="B10" s="8" t="s">
        <v>8</v>
      </c>
      <c r="D10" s="6">
        <v>1</v>
      </c>
      <c r="E10" s="6">
        <v>0</v>
      </c>
      <c r="F10" s="6">
        <v>-1</v>
      </c>
      <c r="G10" s="24"/>
      <c r="R10" t="s">
        <v>17</v>
      </c>
      <c r="S10">
        <f>ABS(S7-S8)</f>
        <v>27</v>
      </c>
      <c r="T10">
        <f t="shared" ref="T10:U10" si="4">ABS(T7-T8)</f>
        <v>19</v>
      </c>
      <c r="U10">
        <f t="shared" si="4"/>
        <v>12</v>
      </c>
      <c r="Y10">
        <f>MAX(S10:U10)</f>
        <v>27</v>
      </c>
      <c r="AA10" t="str">
        <f>AA7</f>
        <v>Male</v>
      </c>
      <c r="AB10">
        <f>((D10-$AH7)^2)*D7</f>
        <v>9.5510204081632679</v>
      </c>
      <c r="AC10">
        <f>((E10-$AH7)^2)*E7</f>
        <v>1.9591836734693877</v>
      </c>
      <c r="AD10">
        <f>((F10-$AH7)^2)*F7</f>
        <v>29.632653061224488</v>
      </c>
      <c r="AH10">
        <f>(SUM(AB10:AD10))/(Y7-1)</f>
        <v>0.59627329192546585</v>
      </c>
      <c r="AI10" s="5">
        <f>AH10^0.5</f>
        <v>0.77218734250534427</v>
      </c>
    </row>
    <row r="11" spans="1:36" x14ac:dyDescent="0.25">
      <c r="M11" t="s">
        <v>63</v>
      </c>
      <c r="O11" t="s">
        <v>65</v>
      </c>
      <c r="AA11" t="str">
        <f>AA8</f>
        <v>Female</v>
      </c>
      <c r="AB11">
        <f>((D10-$AH8)^2)*D8</f>
        <v>20.095124851367423</v>
      </c>
      <c r="AC11">
        <f>((E10-$AH8)^2)*E8</f>
        <v>0.14982164090368608</v>
      </c>
      <c r="AD11">
        <f>((F10-$AH8)^2)*F8</f>
        <v>23.134363852556479</v>
      </c>
      <c r="AH11">
        <f>(SUM(AC11:AD11))/(Y8-1)</f>
        <v>0.4084944823414064</v>
      </c>
      <c r="AI11" s="5">
        <f>AH11^0.5</f>
        <v>0.63913573076570085</v>
      </c>
    </row>
    <row r="12" spans="1:36" ht="17.25" customHeight="1" x14ac:dyDescent="0.25">
      <c r="A12" s="17"/>
      <c r="B12" s="17"/>
      <c r="C12" s="14" t="s">
        <v>19</v>
      </c>
      <c r="D12" s="14">
        <f>IF(Y7=Y8,Y10,Y16)</f>
        <v>0.31182266009852222</v>
      </c>
      <c r="E12" s="16"/>
      <c r="F12" s="16" t="s">
        <v>31</v>
      </c>
      <c r="G12" s="22">
        <f>IF(Z26&lt;1,Z26,"na")</f>
        <v>4.1898312743353259E-3</v>
      </c>
      <c r="H12" s="30" t="s">
        <v>39</v>
      </c>
      <c r="I12" s="30"/>
      <c r="J12" s="30"/>
      <c r="K12" s="30"/>
      <c r="M12" t="s">
        <v>62</v>
      </c>
      <c r="N12">
        <f>IF(MIN(Y7:Y8)&gt;39,AA19,"na")</f>
        <v>0.24147983832045056</v>
      </c>
      <c r="O12" s="23" t="str">
        <f>IF(MIN(Y7:Y8)&gt;39,AB19,"na")</f>
        <v>Yes</v>
      </c>
      <c r="T12" s="4"/>
      <c r="U12" s="4"/>
      <c r="V12" s="4"/>
      <c r="W12" s="4"/>
      <c r="X12" s="4"/>
    </row>
    <row r="13" spans="1:36" ht="15" customHeight="1" x14ac:dyDescent="0.25">
      <c r="A13" s="17"/>
      <c r="B13" s="17"/>
      <c r="F13" t="s">
        <v>35</v>
      </c>
      <c r="G13">
        <f>Z24</f>
        <v>2.094915637167663E-3</v>
      </c>
      <c r="H13" s="30"/>
      <c r="I13" s="30"/>
      <c r="J13" s="30"/>
      <c r="K13" s="30"/>
      <c r="M13" t="s">
        <v>64</v>
      </c>
      <c r="N13">
        <f>IF(MIN(Y7:Y8)&gt;39,AA20,"na")</f>
        <v>0.28942068857524583</v>
      </c>
      <c r="O13" s="23" t="str">
        <f>IF(MIN(Y7:Y8)&gt;39,AB20,"na")</f>
        <v>Yes</v>
      </c>
      <c r="R13" t="str">
        <f>B7</f>
        <v>Male</v>
      </c>
      <c r="S13">
        <f t="shared" ref="S13:U14" si="5">S7/$Y7</f>
        <v>0.74285714285714288</v>
      </c>
      <c r="T13">
        <f t="shared" si="5"/>
        <v>0.82857142857142863</v>
      </c>
      <c r="U13">
        <f t="shared" si="5"/>
        <v>1</v>
      </c>
      <c r="AH13" t="s">
        <v>12</v>
      </c>
      <c r="AI13">
        <f>AJ7-AJ8</f>
        <v>0.46798029556650245</v>
      </c>
    </row>
    <row r="14" spans="1:36" ht="18.75" x14ac:dyDescent="0.3">
      <c r="A14" s="8" t="s">
        <v>20</v>
      </c>
      <c r="B14" s="8"/>
      <c r="C14" s="8" t="s">
        <v>21</v>
      </c>
      <c r="D14" s="7" t="str">
        <f>IF(Y7=Y8,D12/((Y7+Y8)/2),"Use Dmax")</f>
        <v>Use Dmax</v>
      </c>
      <c r="H14" s="30"/>
      <c r="I14" s="30"/>
      <c r="J14" s="30"/>
      <c r="K14" s="30"/>
      <c r="M14" t="s">
        <v>64</v>
      </c>
      <c r="N14">
        <f>IF(MIN(Y7:Y8)&gt;39,AA21,"na")</f>
        <v>0.34623947406241068</v>
      </c>
      <c r="O14" s="23" t="str">
        <f>IF(MIN(Y7:Y8)&gt;39,AB21,"na")</f>
        <v>No</v>
      </c>
      <c r="R14" t="str">
        <f>B8</f>
        <v>Female</v>
      </c>
      <c r="S14">
        <f t="shared" si="5"/>
        <v>0.43103448275862066</v>
      </c>
      <c r="T14">
        <f t="shared" si="5"/>
        <v>0.67241379310344829</v>
      </c>
      <c r="U14">
        <f t="shared" si="5"/>
        <v>1</v>
      </c>
      <c r="AH14" t="s">
        <v>13</v>
      </c>
      <c r="AI14">
        <f>((AH10/Y7)+(AH11/Y8))^0.5</f>
        <v>0.12474453174741031</v>
      </c>
    </row>
    <row r="15" spans="1:36" ht="18.75" x14ac:dyDescent="0.3">
      <c r="A15" s="8"/>
      <c r="B15" s="8"/>
      <c r="C15" s="8"/>
      <c r="D15" s="8"/>
      <c r="Y15" t="s">
        <v>18</v>
      </c>
      <c r="AH15" t="s">
        <v>14</v>
      </c>
      <c r="AI15" s="15">
        <f>AI13/AI14</f>
        <v>3.7515094971384806</v>
      </c>
    </row>
    <row r="16" spans="1:36" x14ac:dyDescent="0.25">
      <c r="A16" s="30" t="str">
        <f>IF(MIN(Y7:Y8)&lt;50,"Your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0.31182266009852222</v>
      </c>
      <c r="T16">
        <f t="shared" ref="T16:U16" si="6">ABS(T13-T14)</f>
        <v>0.15615763546798034</v>
      </c>
      <c r="U16">
        <f t="shared" si="6"/>
        <v>0</v>
      </c>
      <c r="Y16">
        <f>MAX(S16:U16)</f>
        <v>0.31182266009852222</v>
      </c>
      <c r="AH16" t="s">
        <v>0</v>
      </c>
      <c r="AI16">
        <f>Y7+Y8-2</f>
        <v>126</v>
      </c>
    </row>
    <row r="17" spans="1:38" x14ac:dyDescent="0.25">
      <c r="A17" s="30"/>
      <c r="B17" s="30"/>
      <c r="C17" s="30"/>
      <c r="D17" s="30"/>
      <c r="AJ17" t="s">
        <v>31</v>
      </c>
      <c r="AK17">
        <f>_xlfn.T.DIST.2T(AI15,AI16)</f>
        <v>2.6689987716931632E-4</v>
      </c>
    </row>
    <row r="18" spans="1:38" x14ac:dyDescent="0.25">
      <c r="A18" s="30"/>
      <c r="B18" s="30"/>
      <c r="C18" s="30"/>
      <c r="D18" s="30"/>
      <c r="Y18" t="s">
        <v>25</v>
      </c>
      <c r="AA18">
        <f>((Y7+Y8)/(Y7*Y8))^0.5</f>
        <v>0.1775587046473901</v>
      </c>
      <c r="AJ18" t="s">
        <v>35</v>
      </c>
      <c r="AK18">
        <f>AK17/2</f>
        <v>1.3344993858465816E-4</v>
      </c>
    </row>
    <row r="19" spans="1:38" x14ac:dyDescent="0.25">
      <c r="Y19">
        <v>0.05</v>
      </c>
      <c r="Z19">
        <v>1.36</v>
      </c>
      <c r="AA19">
        <f>Z19*AA18</f>
        <v>0.24147983832045056</v>
      </c>
      <c r="AB19" t="str">
        <f>IF(Y16&gt;AA19,"Yes","No")</f>
        <v>Yes</v>
      </c>
      <c r="AJ19" t="s">
        <v>36</v>
      </c>
      <c r="AK19">
        <f>_xlfn.NORM.S.INV(AK18)</f>
        <v>-3.6454735401209302</v>
      </c>
    </row>
    <row r="20" spans="1:38" ht="18.75" x14ac:dyDescent="0.3">
      <c r="A20" s="10" t="s">
        <v>22</v>
      </c>
      <c r="B20" s="10"/>
      <c r="C20" s="8" t="s">
        <v>26</v>
      </c>
      <c r="D20" s="7">
        <f>IF(MIN(Y7:Y8)&gt;24,AI15,"na")</f>
        <v>3.7515094971384806</v>
      </c>
      <c r="Y20">
        <v>0.01</v>
      </c>
      <c r="Z20">
        <v>1.63</v>
      </c>
      <c r="AA20">
        <f>Z20*AA18</f>
        <v>0.28942068857524583</v>
      </c>
      <c r="AB20" t="str">
        <f>IF(Y16&gt;AA20,"Yes","No")</f>
        <v>Yes</v>
      </c>
      <c r="AJ20" t="s">
        <v>37</v>
      </c>
      <c r="AK20">
        <f>AK19/((Y7+Y8)^0.5)</f>
        <v>-0.32221738260695487</v>
      </c>
    </row>
    <row r="21" spans="1:38" ht="18.75" x14ac:dyDescent="0.3">
      <c r="A21" s="10"/>
      <c r="B21" s="10" t="s">
        <v>23</v>
      </c>
      <c r="C21" s="8" t="s">
        <v>25</v>
      </c>
      <c r="D21" s="7">
        <f>IF(MIN(Y7:Y8)&gt;24,AK17,"na")</f>
        <v>2.6689987716931632E-4</v>
      </c>
      <c r="Y21">
        <v>1E-3</v>
      </c>
      <c r="Z21">
        <v>1.95</v>
      </c>
      <c r="AA21">
        <f>Z21*AA18</f>
        <v>0.34623947406241068</v>
      </c>
      <c r="AB21" t="str">
        <f>IF(Y16&gt;AA21,"Yes","No")</f>
        <v>No</v>
      </c>
      <c r="AJ21" t="s">
        <v>40</v>
      </c>
      <c r="AK21">
        <f>(MAX(AI10:AI11))/(MIN(AI10:AI11))</f>
        <v>1.208174266176989</v>
      </c>
    </row>
    <row r="22" spans="1:38" ht="18.75" x14ac:dyDescent="0.3">
      <c r="A22" s="10"/>
      <c r="B22" s="10" t="s">
        <v>24</v>
      </c>
      <c r="C22" s="8" t="s">
        <v>25</v>
      </c>
      <c r="D22" s="7">
        <f>IF(MIN(Y7:Y8)&gt;24,D21/2,"na")</f>
        <v>1.3344993858465816E-4</v>
      </c>
      <c r="AK22" t="s">
        <v>44</v>
      </c>
      <c r="AL22" t="s">
        <v>45</v>
      </c>
    </row>
    <row r="23" spans="1:38" x14ac:dyDescent="0.25">
      <c r="Y23" t="s">
        <v>32</v>
      </c>
      <c r="Z23">
        <f>(4*(Y16^2))</f>
        <v>0.38893348540367406</v>
      </c>
      <c r="AA23">
        <f>(Y7*Y8)/(Y7+Y8)</f>
        <v>31.71875</v>
      </c>
      <c r="AB23">
        <f>Z23*AA23</f>
        <v>12.336483990147787</v>
      </c>
      <c r="AJ23" t="s">
        <v>42</v>
      </c>
      <c r="AK23">
        <f>_xlfn.F.INV.RT(0.025,MAX(Y7:Y8)-1,MIN(Y7:Y8)-1)</f>
        <v>1.6598764974181173</v>
      </c>
      <c r="AL23">
        <f>_xlfn.F.INV.RT(0.05,MAX(Y7:Y8)-1,MIN(Y7:Y8)-1)</f>
        <v>1.5287011597210549</v>
      </c>
    </row>
    <row r="24" spans="1:38" ht="15.75" x14ac:dyDescent="0.25">
      <c r="B24" s="7" t="s">
        <v>27</v>
      </c>
      <c r="C24" s="7" t="s">
        <v>28</v>
      </c>
      <c r="Y24" t="s">
        <v>33</v>
      </c>
      <c r="Z24">
        <f>_xlfn.CHISQ.DIST.RT(AB23,2)</f>
        <v>2.094915637167663E-3</v>
      </c>
      <c r="AJ24" t="s">
        <v>43</v>
      </c>
      <c r="AK24">
        <f>_xlfn.F.INV.RT(0.005,MAX(Y7:Y8)-1,MIN(Y7:Y8)-1)</f>
        <v>1.9532116235431116</v>
      </c>
      <c r="AL24">
        <f>_xlfn.F.INV.RT(0.01,MAX(Y7:Y8)-1,MIN(Y7:Y8)-1)</f>
        <v>1.828030501623096</v>
      </c>
    </row>
    <row r="25" spans="1:38" ht="15.75" x14ac:dyDescent="0.25">
      <c r="A25" s="7" t="str">
        <f>B7</f>
        <v>Male</v>
      </c>
      <c r="B25">
        <f>AH7</f>
        <v>0.5714285714285714</v>
      </c>
      <c r="C25" s="5">
        <f>AI10</f>
        <v>0.77218734250534427</v>
      </c>
    </row>
    <row r="26" spans="1:38" ht="15.75" x14ac:dyDescent="0.25">
      <c r="A26" s="7" t="str">
        <f>B8</f>
        <v>Female</v>
      </c>
      <c r="B26">
        <f>AH8</f>
        <v>0.10344827586206896</v>
      </c>
      <c r="C26" s="5">
        <f>AI11</f>
        <v>0.63913573076570085</v>
      </c>
      <c r="Y26" t="s">
        <v>34</v>
      </c>
      <c r="Z26">
        <f>Z24*2</f>
        <v>4.1898312743353259E-3</v>
      </c>
    </row>
    <row r="28" spans="1:38" x14ac:dyDescent="0.25">
      <c r="A28" t="s">
        <v>38</v>
      </c>
      <c r="C28">
        <f>ABS(AK20)</f>
        <v>0.32221738260695487</v>
      </c>
    </row>
    <row r="30" spans="1:38" x14ac:dyDescent="0.25">
      <c r="D30" t="s">
        <v>31</v>
      </c>
      <c r="E30" t="s">
        <v>35</v>
      </c>
    </row>
    <row r="31" spans="1:38" x14ac:dyDescent="0.25">
      <c r="A31" t="s">
        <v>41</v>
      </c>
      <c r="C31">
        <f>AK21</f>
        <v>1.208174266176989</v>
      </c>
      <c r="D31" t="str">
        <f>IF(C31&lt;AK23,"p &gt; 0.05","p&lt;0.05")</f>
        <v>p &gt; 0.05</v>
      </c>
      <c r="E31" t="str">
        <f>IF(C31&lt;AL23,"p &gt; 0.05","p&lt;0.05")</f>
        <v>p &gt; 0.05</v>
      </c>
    </row>
    <row r="32" spans="1:38" x14ac:dyDescent="0.25">
      <c r="D32" t="str">
        <f>IF(C31&lt;AK24,"p &gt; 0.01","p&lt;0.01")</f>
        <v>p &gt; 0.01</v>
      </c>
      <c r="E32" t="str">
        <f>IF(C31&lt;AL24,"p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X32"/>
  <sheetViews>
    <sheetView workbookViewId="0">
      <selection activeCell="R22" sqref="R22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50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50" x14ac:dyDescent="0.25">
      <c r="B3" s="30"/>
      <c r="C3" s="30"/>
      <c r="D3" s="30"/>
      <c r="E3" s="30"/>
      <c r="F3" s="30"/>
      <c r="G3" s="30"/>
      <c r="H3" s="30"/>
      <c r="I3" s="30"/>
    </row>
    <row r="4" spans="1:50" x14ac:dyDescent="0.25">
      <c r="R4" t="s">
        <v>29</v>
      </c>
    </row>
    <row r="5" spans="1:50" ht="15.75" customHeight="1" thickBot="1" x14ac:dyDescent="0.3"/>
    <row r="6" spans="1:50" ht="19.5" thickBot="1" x14ac:dyDescent="0.3">
      <c r="C6" s="11"/>
      <c r="D6" s="2" t="s">
        <v>47</v>
      </c>
      <c r="E6" s="2" t="s">
        <v>53</v>
      </c>
      <c r="F6" s="2" t="s">
        <v>54</v>
      </c>
      <c r="G6" s="2" t="s">
        <v>48</v>
      </c>
      <c r="H6" s="2" t="s">
        <v>55</v>
      </c>
      <c r="I6" s="2" t="s">
        <v>66</v>
      </c>
      <c r="J6" s="2" t="s">
        <v>67</v>
      </c>
      <c r="K6" s="2" t="s">
        <v>68</v>
      </c>
      <c r="L6" s="2" t="s">
        <v>69</v>
      </c>
      <c r="M6" s="2" t="s">
        <v>70</v>
      </c>
      <c r="N6" s="2" t="s">
        <v>71</v>
      </c>
      <c r="O6" s="2" t="s">
        <v>72</v>
      </c>
      <c r="Q6" s="9" t="s">
        <v>7</v>
      </c>
      <c r="S6" s="4" t="str">
        <f t="shared" ref="S6:AA6" si="0">D6</f>
        <v>A</v>
      </c>
      <c r="T6" s="4" t="str">
        <f t="shared" si="0"/>
        <v>B</v>
      </c>
      <c r="U6" s="4" t="str">
        <f t="shared" si="0"/>
        <v>C</v>
      </c>
      <c r="V6" s="4" t="str">
        <f t="shared" si="0"/>
        <v>D</v>
      </c>
      <c r="W6" s="4" t="str">
        <f t="shared" si="0"/>
        <v>E</v>
      </c>
      <c r="X6" s="4" t="str">
        <f t="shared" si="0"/>
        <v>F</v>
      </c>
      <c r="Y6" s="4" t="str">
        <f t="shared" si="0"/>
        <v>G</v>
      </c>
      <c r="Z6" s="4" t="str">
        <f t="shared" si="0"/>
        <v>H</v>
      </c>
      <c r="AA6" s="4" t="str">
        <f t="shared" si="0"/>
        <v>I</v>
      </c>
      <c r="AB6" s="4" t="str">
        <f t="shared" ref="AB6:AD6" si="1">M6</f>
        <v>J</v>
      </c>
      <c r="AC6" s="4" t="str">
        <f t="shared" si="1"/>
        <v>K</v>
      </c>
      <c r="AD6" s="4" t="str">
        <f t="shared" si="1"/>
        <v>L</v>
      </c>
      <c r="AE6" s="4"/>
      <c r="AF6" s="2" t="s">
        <v>7</v>
      </c>
      <c r="AG6" s="4"/>
      <c r="AI6" s="4" t="str">
        <f t="shared" ref="AI6:AQ6" si="2">D6</f>
        <v>A</v>
      </c>
      <c r="AJ6" s="4" t="str">
        <f t="shared" si="2"/>
        <v>B</v>
      </c>
      <c r="AK6" s="4" t="str">
        <f t="shared" si="2"/>
        <v>C</v>
      </c>
      <c r="AL6" s="4" t="str">
        <f t="shared" si="2"/>
        <v>D</v>
      </c>
      <c r="AM6" s="4" t="str">
        <f t="shared" si="2"/>
        <v>E</v>
      </c>
      <c r="AN6" s="4" t="str">
        <f t="shared" si="2"/>
        <v>F</v>
      </c>
      <c r="AO6" s="4" t="str">
        <f t="shared" si="2"/>
        <v>G</v>
      </c>
      <c r="AP6" s="4" t="str">
        <f t="shared" si="2"/>
        <v>H</v>
      </c>
      <c r="AQ6" s="4" t="str">
        <f t="shared" si="2"/>
        <v>I</v>
      </c>
      <c r="AR6" s="4" t="str">
        <f t="shared" ref="AR6:AT6" si="3">M6</f>
        <v>J</v>
      </c>
      <c r="AS6" s="4" t="str">
        <f t="shared" si="3"/>
        <v>K</v>
      </c>
      <c r="AT6" s="4" t="str">
        <f t="shared" si="3"/>
        <v>L</v>
      </c>
      <c r="AV6" t="s">
        <v>9</v>
      </c>
    </row>
    <row r="7" spans="1:50" ht="19.5" thickBot="1" x14ac:dyDescent="0.3">
      <c r="B7" s="33" t="s">
        <v>51</v>
      </c>
      <c r="C7" s="34"/>
      <c r="D7" s="12">
        <v>4</v>
      </c>
      <c r="E7" s="12">
        <v>8</v>
      </c>
      <c r="F7" s="12">
        <v>15</v>
      </c>
      <c r="G7" s="12">
        <v>21</v>
      </c>
      <c r="H7" s="12">
        <v>17</v>
      </c>
      <c r="I7" s="12">
        <v>10</v>
      </c>
      <c r="J7" s="12">
        <v>7</v>
      </c>
      <c r="K7" s="12">
        <v>1</v>
      </c>
      <c r="L7" s="12">
        <v>5</v>
      </c>
      <c r="M7" s="12">
        <v>8</v>
      </c>
      <c r="N7" s="12">
        <v>3</v>
      </c>
      <c r="O7" s="12">
        <v>1</v>
      </c>
      <c r="Q7">
        <f>SUM(D7:O7)</f>
        <v>100</v>
      </c>
      <c r="R7" t="str">
        <f>B7</f>
        <v>Male</v>
      </c>
      <c r="S7">
        <f>D7</f>
        <v>4</v>
      </c>
      <c r="T7">
        <f t="shared" ref="T7:AA8" si="4">E7+S7</f>
        <v>12</v>
      </c>
      <c r="U7">
        <f t="shared" si="4"/>
        <v>27</v>
      </c>
      <c r="V7">
        <f t="shared" si="4"/>
        <v>48</v>
      </c>
      <c r="W7">
        <f t="shared" si="4"/>
        <v>65</v>
      </c>
      <c r="X7">
        <f t="shared" si="4"/>
        <v>75</v>
      </c>
      <c r="Y7">
        <f t="shared" si="4"/>
        <v>82</v>
      </c>
      <c r="Z7">
        <f t="shared" si="4"/>
        <v>83</v>
      </c>
      <c r="AA7">
        <f t="shared" si="4"/>
        <v>88</v>
      </c>
      <c r="AB7">
        <f t="shared" ref="AB7:AD7" si="5">M7+AA7</f>
        <v>96</v>
      </c>
      <c r="AC7">
        <f t="shared" si="5"/>
        <v>99</v>
      </c>
      <c r="AD7">
        <f t="shared" si="5"/>
        <v>100</v>
      </c>
      <c r="AF7" s="3">
        <f>SUM(D7:O7)</f>
        <v>100</v>
      </c>
      <c r="AH7" t="str">
        <f>B7</f>
        <v>Male</v>
      </c>
      <c r="AI7">
        <f t="shared" ref="AI7:AQ7" si="6">D7*D10</f>
        <v>4</v>
      </c>
      <c r="AJ7">
        <f t="shared" si="6"/>
        <v>16</v>
      </c>
      <c r="AK7">
        <f t="shared" si="6"/>
        <v>45</v>
      </c>
      <c r="AL7">
        <f t="shared" si="6"/>
        <v>84</v>
      </c>
      <c r="AM7">
        <f t="shared" si="6"/>
        <v>85</v>
      </c>
      <c r="AN7">
        <f t="shared" si="6"/>
        <v>60</v>
      </c>
      <c r="AO7">
        <f t="shared" si="6"/>
        <v>49</v>
      </c>
      <c r="AP7">
        <f t="shared" si="6"/>
        <v>8</v>
      </c>
      <c r="AQ7">
        <f t="shared" si="6"/>
        <v>45</v>
      </c>
      <c r="AR7">
        <f t="shared" ref="AR7:AT7" si="7">M7*M10</f>
        <v>80</v>
      </c>
      <c r="AS7">
        <f t="shared" si="7"/>
        <v>33</v>
      </c>
      <c r="AT7">
        <f t="shared" si="7"/>
        <v>12</v>
      </c>
      <c r="AV7">
        <f>SUM(AI7:AT7)/AF7</f>
        <v>5.21</v>
      </c>
      <c r="AW7" t="s">
        <v>15</v>
      </c>
      <c r="AX7">
        <f>MAX(AV7:AV8)</f>
        <v>5.87</v>
      </c>
    </row>
    <row r="8" spans="1:50" ht="19.5" thickBot="1" x14ac:dyDescent="0.3">
      <c r="B8" s="33" t="s">
        <v>52</v>
      </c>
      <c r="C8" s="34"/>
      <c r="D8" s="12">
        <v>1</v>
      </c>
      <c r="E8" s="12">
        <v>4</v>
      </c>
      <c r="F8" s="12">
        <v>7</v>
      </c>
      <c r="G8" s="12">
        <v>15</v>
      </c>
      <c r="H8" s="12">
        <v>23</v>
      </c>
      <c r="I8" s="12">
        <v>19</v>
      </c>
      <c r="J8" s="12">
        <v>12</v>
      </c>
      <c r="K8" s="12">
        <v>5</v>
      </c>
      <c r="L8" s="12">
        <v>3</v>
      </c>
      <c r="M8" s="12">
        <v>6</v>
      </c>
      <c r="N8" s="12">
        <v>3</v>
      </c>
      <c r="O8" s="12">
        <v>2</v>
      </c>
      <c r="Q8">
        <f>SUM(D8:O8)</f>
        <v>100</v>
      </c>
      <c r="R8" t="str">
        <f>B8</f>
        <v>Female</v>
      </c>
      <c r="S8">
        <f>D8</f>
        <v>1</v>
      </c>
      <c r="T8">
        <f t="shared" si="4"/>
        <v>5</v>
      </c>
      <c r="U8">
        <f t="shared" si="4"/>
        <v>12</v>
      </c>
      <c r="V8">
        <f t="shared" si="4"/>
        <v>27</v>
      </c>
      <c r="W8">
        <f t="shared" si="4"/>
        <v>50</v>
      </c>
      <c r="X8">
        <f t="shared" si="4"/>
        <v>69</v>
      </c>
      <c r="Y8">
        <f t="shared" si="4"/>
        <v>81</v>
      </c>
      <c r="Z8">
        <f t="shared" si="4"/>
        <v>86</v>
      </c>
      <c r="AA8">
        <f t="shared" si="4"/>
        <v>89</v>
      </c>
      <c r="AB8">
        <f t="shared" ref="AB8:AD8" si="8">M8+AA8</f>
        <v>95</v>
      </c>
      <c r="AC8">
        <f t="shared" si="8"/>
        <v>98</v>
      </c>
      <c r="AD8">
        <f t="shared" si="8"/>
        <v>100</v>
      </c>
      <c r="AF8" s="3">
        <f>SUM(D8:O8)</f>
        <v>100</v>
      </c>
      <c r="AH8" t="str">
        <f>B8</f>
        <v>Female</v>
      </c>
      <c r="AI8">
        <f t="shared" ref="AI8:AQ8" si="9">D8*D10</f>
        <v>1</v>
      </c>
      <c r="AJ8">
        <f t="shared" si="9"/>
        <v>8</v>
      </c>
      <c r="AK8">
        <f t="shared" si="9"/>
        <v>21</v>
      </c>
      <c r="AL8">
        <f t="shared" si="9"/>
        <v>60</v>
      </c>
      <c r="AM8">
        <f t="shared" si="9"/>
        <v>115</v>
      </c>
      <c r="AN8">
        <f t="shared" si="9"/>
        <v>114</v>
      </c>
      <c r="AO8">
        <f t="shared" si="9"/>
        <v>84</v>
      </c>
      <c r="AP8">
        <f t="shared" si="9"/>
        <v>40</v>
      </c>
      <c r="AQ8">
        <f t="shared" si="9"/>
        <v>27</v>
      </c>
      <c r="AR8">
        <f t="shared" ref="AR8:AT8" si="10">M8*M10</f>
        <v>60</v>
      </c>
      <c r="AS8">
        <f t="shared" si="10"/>
        <v>33</v>
      </c>
      <c r="AT8">
        <f t="shared" si="10"/>
        <v>24</v>
      </c>
      <c r="AV8">
        <f>SUM(AI8:AT8)/AF8</f>
        <v>5.87</v>
      </c>
      <c r="AW8" t="s">
        <v>16</v>
      </c>
      <c r="AX8">
        <f>MIN(AV7:AV8)</f>
        <v>5.21</v>
      </c>
    </row>
    <row r="9" spans="1:50" x14ac:dyDescent="0.25">
      <c r="AF9" t="s">
        <v>18</v>
      </c>
      <c r="AV9" t="s">
        <v>10</v>
      </c>
      <c r="AW9" t="s">
        <v>11</v>
      </c>
    </row>
    <row r="10" spans="1:50" ht="18.75" x14ac:dyDescent="0.3">
      <c r="B10" s="8" t="s">
        <v>8</v>
      </c>
      <c r="D10" s="6">
        <v>1</v>
      </c>
      <c r="E10" s="6">
        <v>2</v>
      </c>
      <c r="F10" s="6">
        <v>3</v>
      </c>
      <c r="G10" s="6">
        <v>4</v>
      </c>
      <c r="H10" s="6">
        <v>5</v>
      </c>
      <c r="I10" s="6">
        <v>6</v>
      </c>
      <c r="J10" s="6">
        <v>7</v>
      </c>
      <c r="K10" s="6">
        <v>8</v>
      </c>
      <c r="L10" s="6">
        <v>9</v>
      </c>
      <c r="M10" s="6">
        <v>10</v>
      </c>
      <c r="N10" s="6">
        <v>11</v>
      </c>
      <c r="O10" s="6">
        <v>12</v>
      </c>
      <c r="R10" t="s">
        <v>17</v>
      </c>
      <c r="S10">
        <f>ABS(S7-S8)</f>
        <v>3</v>
      </c>
      <c r="T10">
        <f t="shared" ref="T10:AA10" si="11">ABS(T7-T8)</f>
        <v>7</v>
      </c>
      <c r="U10">
        <f t="shared" si="11"/>
        <v>15</v>
      </c>
      <c r="V10">
        <f t="shared" si="11"/>
        <v>21</v>
      </c>
      <c r="W10">
        <f t="shared" si="11"/>
        <v>15</v>
      </c>
      <c r="X10">
        <f t="shared" si="11"/>
        <v>6</v>
      </c>
      <c r="Y10">
        <f t="shared" si="11"/>
        <v>1</v>
      </c>
      <c r="Z10">
        <f t="shared" si="11"/>
        <v>3</v>
      </c>
      <c r="AA10">
        <f t="shared" si="11"/>
        <v>1</v>
      </c>
      <c r="AB10">
        <f t="shared" ref="AB10:AD10" si="12">ABS(AB7-AB8)</f>
        <v>1</v>
      </c>
      <c r="AC10">
        <f t="shared" si="12"/>
        <v>1</v>
      </c>
      <c r="AD10">
        <f t="shared" si="12"/>
        <v>0</v>
      </c>
      <c r="AF10">
        <f>MAX(S10:AD10)</f>
        <v>21</v>
      </c>
      <c r="AH10" t="str">
        <f>AH7</f>
        <v>Male</v>
      </c>
      <c r="AI10">
        <f t="shared" ref="AI10:AQ10" si="13">((D10-$AV7)^2)*D7</f>
        <v>70.8964</v>
      </c>
      <c r="AJ10">
        <f t="shared" si="13"/>
        <v>82.4328</v>
      </c>
      <c r="AK10">
        <f t="shared" si="13"/>
        <v>73.261499999999998</v>
      </c>
      <c r="AL10">
        <f t="shared" si="13"/>
        <v>30.746099999999998</v>
      </c>
      <c r="AM10">
        <f t="shared" si="13"/>
        <v>0.74969999999999981</v>
      </c>
      <c r="AN10">
        <f t="shared" si="13"/>
        <v>6.2410000000000014</v>
      </c>
      <c r="AO10">
        <f t="shared" si="13"/>
        <v>22.428699999999999</v>
      </c>
      <c r="AP10">
        <f t="shared" si="13"/>
        <v>7.7841000000000005</v>
      </c>
      <c r="AQ10">
        <f t="shared" si="13"/>
        <v>71.82050000000001</v>
      </c>
      <c r="AR10">
        <f t="shared" ref="AR10:AT10" si="14">((M10-$AV7)^2)*M7</f>
        <v>183.55279999999999</v>
      </c>
      <c r="AS10">
        <f t="shared" si="14"/>
        <v>100.57229999999998</v>
      </c>
      <c r="AT10">
        <f t="shared" si="14"/>
        <v>46.104100000000003</v>
      </c>
      <c r="AV10">
        <f>(SUM(AI10:AT10))/(AF7-1)</f>
        <v>7.0362626262626273</v>
      </c>
      <c r="AW10" s="5">
        <f>AV10^0.5</f>
        <v>2.6525954509239864</v>
      </c>
    </row>
    <row r="11" spans="1:50" x14ac:dyDescent="0.25">
      <c r="M11" t="s">
        <v>63</v>
      </c>
      <c r="O11" t="s">
        <v>65</v>
      </c>
      <c r="AH11" t="str">
        <f>AH8</f>
        <v>Female</v>
      </c>
      <c r="AI11">
        <f t="shared" ref="AI11:AQ11" si="15">((D10-$AV8)^2)*D8</f>
        <v>23.716900000000003</v>
      </c>
      <c r="AJ11">
        <f t="shared" si="15"/>
        <v>59.907600000000002</v>
      </c>
      <c r="AK11">
        <f t="shared" si="15"/>
        <v>57.658300000000004</v>
      </c>
      <c r="AL11">
        <f t="shared" si="15"/>
        <v>52.453500000000005</v>
      </c>
      <c r="AM11">
        <f t="shared" si="15"/>
        <v>17.408700000000007</v>
      </c>
      <c r="AN11">
        <f t="shared" si="15"/>
        <v>0.32109999999999944</v>
      </c>
      <c r="AO11">
        <f t="shared" si="15"/>
        <v>15.322799999999997</v>
      </c>
      <c r="AP11">
        <f t="shared" si="15"/>
        <v>22.684499999999996</v>
      </c>
      <c r="AQ11">
        <f t="shared" si="15"/>
        <v>29.390699999999995</v>
      </c>
      <c r="AR11">
        <f t="shared" ref="AR11:AT11" si="16">((M10-$AV8)^2)*M8</f>
        <v>102.34139999999999</v>
      </c>
      <c r="AS11">
        <f t="shared" si="16"/>
        <v>78.950699999999998</v>
      </c>
      <c r="AT11">
        <f t="shared" si="16"/>
        <v>75.153800000000004</v>
      </c>
      <c r="AV11">
        <f>(SUM(AI11:AT11))/(AF8-1)</f>
        <v>5.4071717171717175</v>
      </c>
      <c r="AW11" s="5">
        <f>AV11^0.5</f>
        <v>2.3253326035584068</v>
      </c>
    </row>
    <row r="12" spans="1:50" ht="17.25" customHeight="1" x14ac:dyDescent="0.25">
      <c r="A12" s="17"/>
      <c r="B12" s="17"/>
      <c r="C12" s="14" t="s">
        <v>19</v>
      </c>
      <c r="D12" s="14">
        <f>IF(AF7=AF8,AF10,AF16)</f>
        <v>21</v>
      </c>
      <c r="E12" s="16"/>
      <c r="F12" s="16" t="s">
        <v>31</v>
      </c>
      <c r="G12" s="22">
        <f>IF(Y26&lt;1,Y26,"na")</f>
        <v>2.4310356659829915E-2</v>
      </c>
      <c r="H12" s="30" t="s">
        <v>39</v>
      </c>
      <c r="I12" s="30"/>
      <c r="J12" s="30"/>
      <c r="K12" s="30"/>
      <c r="M12" t="s">
        <v>62</v>
      </c>
      <c r="N12" s="1">
        <f>IF(MIN(AF7:AF8)&gt;39,Z19,"na")</f>
        <v>0.19233304448274094</v>
      </c>
      <c r="O12" s="23" t="str">
        <f>IF(MIN(AF7:AF8)&gt;39,AA19,"na")</f>
        <v>Yes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50" ht="15" customHeight="1" x14ac:dyDescent="0.25">
      <c r="A13" s="17"/>
      <c r="B13" s="17"/>
      <c r="F13" t="s">
        <v>35</v>
      </c>
      <c r="G13" s="20">
        <f>Y24</f>
        <v>1.2155178329914957E-2</v>
      </c>
      <c r="H13" s="30"/>
      <c r="I13" s="30"/>
      <c r="J13" s="30"/>
      <c r="K13" s="30"/>
      <c r="M13" t="s">
        <v>64</v>
      </c>
      <c r="N13" s="1">
        <f>IF(MIN(AF7:AF8)&gt;39,Z20,"na")</f>
        <v>0.23051681066681448</v>
      </c>
      <c r="O13" s="23" t="str">
        <f>IF(MIN(AF7:AF8)&gt;39,AA20,"na")</f>
        <v>No</v>
      </c>
      <c r="R13" t="str">
        <f>B7</f>
        <v>Male</v>
      </c>
      <c r="S13">
        <f t="shared" ref="S13:AA13" si="17">S7/$AF7</f>
        <v>0.04</v>
      </c>
      <c r="T13">
        <f t="shared" si="17"/>
        <v>0.12</v>
      </c>
      <c r="U13">
        <f t="shared" si="17"/>
        <v>0.27</v>
      </c>
      <c r="V13">
        <f t="shared" si="17"/>
        <v>0.48</v>
      </c>
      <c r="W13">
        <f t="shared" si="17"/>
        <v>0.65</v>
      </c>
      <c r="X13">
        <f t="shared" si="17"/>
        <v>0.75</v>
      </c>
      <c r="Y13">
        <f t="shared" si="17"/>
        <v>0.82</v>
      </c>
      <c r="Z13">
        <f t="shared" si="17"/>
        <v>0.83</v>
      </c>
      <c r="AA13">
        <f t="shared" si="17"/>
        <v>0.88</v>
      </c>
      <c r="AB13">
        <f t="shared" ref="AB13:AD13" si="18">AB7/$AF7</f>
        <v>0.96</v>
      </c>
      <c r="AC13">
        <f t="shared" si="18"/>
        <v>0.99</v>
      </c>
      <c r="AD13">
        <f t="shared" si="18"/>
        <v>1</v>
      </c>
      <c r="AO13" t="s">
        <v>12</v>
      </c>
      <c r="AP13">
        <f>AX7-AX8</f>
        <v>0.66000000000000014</v>
      </c>
    </row>
    <row r="14" spans="1:50" ht="18.75" x14ac:dyDescent="0.3">
      <c r="A14" s="8" t="s">
        <v>20</v>
      </c>
      <c r="B14" s="8"/>
      <c r="C14" s="8" t="s">
        <v>21</v>
      </c>
      <c r="D14" s="21">
        <f>IF(AF7=AF8,D12/((AF7+AF8)/2),"Use Dmax")</f>
        <v>0.21</v>
      </c>
      <c r="H14" s="30"/>
      <c r="I14" s="30"/>
      <c r="J14" s="30"/>
      <c r="K14" s="30"/>
      <c r="M14" t="s">
        <v>64</v>
      </c>
      <c r="N14" s="1">
        <f>IF(MIN(AF7:AF8)&gt;39,Z21,"na")</f>
        <v>0.2757716446627535</v>
      </c>
      <c r="O14" s="23" t="str">
        <f>IF(MIN(AF7:AF8)&gt;39,AA21,"na")</f>
        <v>No</v>
      </c>
      <c r="R14" t="str">
        <f>B8</f>
        <v>Female</v>
      </c>
      <c r="S14">
        <f t="shared" ref="S14:AA14" si="19">S8/$AF8</f>
        <v>0.01</v>
      </c>
      <c r="T14">
        <f t="shared" si="19"/>
        <v>0.05</v>
      </c>
      <c r="U14">
        <f t="shared" si="19"/>
        <v>0.12</v>
      </c>
      <c r="V14">
        <f t="shared" si="19"/>
        <v>0.27</v>
      </c>
      <c r="W14">
        <f t="shared" si="19"/>
        <v>0.5</v>
      </c>
      <c r="X14">
        <f t="shared" si="19"/>
        <v>0.69</v>
      </c>
      <c r="Y14">
        <f t="shared" si="19"/>
        <v>0.81</v>
      </c>
      <c r="Z14">
        <f t="shared" si="19"/>
        <v>0.86</v>
      </c>
      <c r="AA14">
        <f t="shared" si="19"/>
        <v>0.89</v>
      </c>
      <c r="AB14">
        <f t="shared" ref="AB14:AD14" si="20">AB8/$AF8</f>
        <v>0.95</v>
      </c>
      <c r="AC14">
        <f t="shared" si="20"/>
        <v>0.98</v>
      </c>
      <c r="AD14">
        <f t="shared" si="20"/>
        <v>1</v>
      </c>
      <c r="AO14" t="s">
        <v>13</v>
      </c>
      <c r="AP14">
        <f>((AV10/AF7)+(AV11/AF8))^0.5</f>
        <v>0.35275252434864796</v>
      </c>
    </row>
    <row r="15" spans="1:50" ht="18.75" x14ac:dyDescent="0.3">
      <c r="A15" s="8"/>
      <c r="B15" s="8"/>
      <c r="C15" s="8"/>
      <c r="D15" s="8"/>
      <c r="AF15" t="s">
        <v>18</v>
      </c>
      <c r="AO15" t="s">
        <v>14</v>
      </c>
      <c r="AP15" s="15">
        <f>AP13/AP14</f>
        <v>1.8710000763812531</v>
      </c>
    </row>
    <row r="16" spans="1:50" x14ac:dyDescent="0.25">
      <c r="A16" s="30" t="str">
        <f>IF(MIN(AF7:AF8)&lt;50,"Your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0.03</v>
      </c>
      <c r="T16">
        <f t="shared" ref="T16:AA16" si="21">ABS(T13-T14)</f>
        <v>6.9999999999999993E-2</v>
      </c>
      <c r="U16">
        <f t="shared" si="21"/>
        <v>0.15000000000000002</v>
      </c>
      <c r="V16">
        <f t="shared" si="21"/>
        <v>0.20999999999999996</v>
      </c>
      <c r="W16">
        <f t="shared" si="21"/>
        <v>0.15000000000000002</v>
      </c>
      <c r="X16">
        <f t="shared" si="21"/>
        <v>6.0000000000000053E-2</v>
      </c>
      <c r="Y16">
        <f t="shared" si="21"/>
        <v>9.9999999999998979E-3</v>
      </c>
      <c r="Z16">
        <f t="shared" si="21"/>
        <v>3.0000000000000027E-2</v>
      </c>
      <c r="AA16">
        <f t="shared" si="21"/>
        <v>1.0000000000000009E-2</v>
      </c>
      <c r="AB16">
        <f t="shared" ref="AB16:AD16" si="22">ABS(AB13-AB14)</f>
        <v>1.0000000000000009E-2</v>
      </c>
      <c r="AC16">
        <f t="shared" si="22"/>
        <v>1.0000000000000009E-2</v>
      </c>
      <c r="AD16">
        <f t="shared" si="22"/>
        <v>0</v>
      </c>
      <c r="AF16">
        <f>MAX(S16:AD16)</f>
        <v>0.20999999999999996</v>
      </c>
      <c r="AO16" t="s">
        <v>0</v>
      </c>
      <c r="AP16">
        <f>AF7+AF8-2</f>
        <v>198</v>
      </c>
    </row>
    <row r="17" spans="1:37" x14ac:dyDescent="0.25">
      <c r="A17" s="30"/>
      <c r="B17" s="30"/>
      <c r="C17" s="30"/>
      <c r="D17" s="30"/>
      <c r="AI17" t="s">
        <v>31</v>
      </c>
      <c r="AJ17">
        <f>_xlfn.T.DIST.2T(AP15,AP16)</f>
        <v>6.2820271511125986E-2</v>
      </c>
    </row>
    <row r="18" spans="1:37" x14ac:dyDescent="0.25">
      <c r="A18" s="30"/>
      <c r="B18" s="30"/>
      <c r="C18" s="30"/>
      <c r="D18" s="30"/>
      <c r="X18" t="s">
        <v>25</v>
      </c>
      <c r="Z18">
        <f>((AF7+AF8)/(AF7*AF8))^0.5</f>
        <v>0.1414213562373095</v>
      </c>
      <c r="AI18" t="s">
        <v>35</v>
      </c>
      <c r="AJ18">
        <f>AJ17/2</f>
        <v>3.1410135755562993E-2</v>
      </c>
    </row>
    <row r="19" spans="1:37" x14ac:dyDescent="0.25">
      <c r="X19">
        <v>0.05</v>
      </c>
      <c r="Y19">
        <v>1.36</v>
      </c>
      <c r="Z19">
        <f>Y19*Z18</f>
        <v>0.19233304448274094</v>
      </c>
      <c r="AA19" t="str">
        <f>IF(AF16&gt;Z19,"Yes","No")</f>
        <v>Yes</v>
      </c>
      <c r="AI19" t="s">
        <v>36</v>
      </c>
      <c r="AJ19">
        <f>_xlfn.NORM.S.INV(AJ18)</f>
        <v>-1.8604614227862515</v>
      </c>
    </row>
    <row r="20" spans="1:37" ht="18.75" x14ac:dyDescent="0.3">
      <c r="A20" s="10" t="s">
        <v>22</v>
      </c>
      <c r="B20" s="10"/>
      <c r="C20" s="8" t="s">
        <v>26</v>
      </c>
      <c r="D20" s="7">
        <f>IF(MIN(AF7:AF8)&gt;24,AP15,"na")</f>
        <v>1.8710000763812531</v>
      </c>
      <c r="X20">
        <v>0.01</v>
      </c>
      <c r="Y20">
        <v>1.63</v>
      </c>
      <c r="Z20">
        <f>Y20*Z18</f>
        <v>0.23051681066681448</v>
      </c>
      <c r="AA20" t="str">
        <f>IF(AF16&gt;Z20,"Yes","No")</f>
        <v>No</v>
      </c>
      <c r="AI20" t="s">
        <v>37</v>
      </c>
      <c r="AJ20">
        <f>AJ19/((AF7+AF8)^0.5)</f>
        <v>-0.13155448881881307</v>
      </c>
    </row>
    <row r="21" spans="1:37" ht="18.75" x14ac:dyDescent="0.3">
      <c r="A21" s="10"/>
      <c r="B21" s="10" t="s">
        <v>23</v>
      </c>
      <c r="C21" s="8" t="s">
        <v>25</v>
      </c>
      <c r="D21" s="7">
        <f>IF(MIN(AF7:AF8)&gt;24,AJ17,"na")</f>
        <v>6.2820271511125986E-2</v>
      </c>
      <c r="X21">
        <v>1E-3</v>
      </c>
      <c r="Y21">
        <v>1.95</v>
      </c>
      <c r="Z21">
        <f>Y21*Z18</f>
        <v>0.2757716446627535</v>
      </c>
      <c r="AA21" t="str">
        <f>IF(AF16&gt;Z21,"Yes","No")</f>
        <v>No</v>
      </c>
      <c r="AI21" t="s">
        <v>40</v>
      </c>
      <c r="AJ21">
        <f>(MAX(AV10:AV11))/(MIN(AV10:AV11))</f>
        <v>1.3012833685154397</v>
      </c>
    </row>
    <row r="22" spans="1:37" ht="18.75" x14ac:dyDescent="0.3">
      <c r="A22" s="10"/>
      <c r="B22" s="10" t="s">
        <v>24</v>
      </c>
      <c r="C22" s="8" t="s">
        <v>25</v>
      </c>
      <c r="D22" s="7">
        <f>IF(MIN(AF7:AF8)&gt;24,D21/2,"na")</f>
        <v>3.1410135755562993E-2</v>
      </c>
      <c r="AJ22" t="s">
        <v>44</v>
      </c>
      <c r="AK22" t="s">
        <v>45</v>
      </c>
    </row>
    <row r="23" spans="1:37" x14ac:dyDescent="0.25">
      <c r="X23" t="s">
        <v>32</v>
      </c>
      <c r="Y23">
        <f>(4*(AF16^2))</f>
        <v>0.17639999999999995</v>
      </c>
      <c r="Z23">
        <f>(AF7*AF8)/(AF7+AF8)</f>
        <v>50</v>
      </c>
      <c r="AA23">
        <f>Y23*Z23</f>
        <v>8.8199999999999967</v>
      </c>
      <c r="AI23" t="s">
        <v>42</v>
      </c>
      <c r="AJ23">
        <f>_xlfn.F.INV.RT(0.025,MAX(AF7:AF8)-1,MIN(AF7:AF8)-1)</f>
        <v>1.4862337676192938</v>
      </c>
      <c r="AK23">
        <f>_xlfn.F.INV.RT(0.05,MAX(AF7:AF8)-1,MIN(AF7:AF8)-1)</f>
        <v>1.3940612573481483</v>
      </c>
    </row>
    <row r="24" spans="1:37" ht="15.75" x14ac:dyDescent="0.25">
      <c r="B24" s="7" t="s">
        <v>27</v>
      </c>
      <c r="C24" s="7" t="s">
        <v>28</v>
      </c>
      <c r="X24" t="s">
        <v>33</v>
      </c>
      <c r="Y24">
        <f>_xlfn.CHISQ.DIST.RT(AA23,2)</f>
        <v>1.2155178329914957E-2</v>
      </c>
      <c r="AI24" t="s">
        <v>43</v>
      </c>
      <c r="AJ24">
        <f>_xlfn.F.INV.RT(0.005,MAX(AF7:AF8)-1,MIN(AF7:AF8)-1)</f>
        <v>1.6853634818107408</v>
      </c>
      <c r="AK24">
        <f>_xlfn.F.INV.RT(0.01,MAX(AF7:AF8)-1,MIN(AF7:AF8)-1)</f>
        <v>1.601498294840046</v>
      </c>
    </row>
    <row r="25" spans="1:37" ht="15.75" x14ac:dyDescent="0.25">
      <c r="A25" s="7" t="str">
        <f>B7</f>
        <v>Male</v>
      </c>
      <c r="B25">
        <f>AV7</f>
        <v>5.21</v>
      </c>
      <c r="C25" s="5">
        <f>AW10</f>
        <v>2.6525954509239864</v>
      </c>
    </row>
    <row r="26" spans="1:37" ht="15.75" x14ac:dyDescent="0.25">
      <c r="A26" s="7" t="str">
        <f>B8</f>
        <v>Female</v>
      </c>
      <c r="B26">
        <f>AV8</f>
        <v>5.87</v>
      </c>
      <c r="C26" s="5">
        <f>AW11</f>
        <v>2.3253326035584068</v>
      </c>
      <c r="X26" t="s">
        <v>34</v>
      </c>
      <c r="Y26">
        <f>Y24*2</f>
        <v>2.4310356659829915E-2</v>
      </c>
    </row>
    <row r="28" spans="1:37" x14ac:dyDescent="0.25">
      <c r="A28" t="s">
        <v>38</v>
      </c>
      <c r="C28">
        <f>ABS(AJ20)</f>
        <v>0.13155448881881307</v>
      </c>
    </row>
    <row r="30" spans="1:37" x14ac:dyDescent="0.25">
      <c r="D30" t="s">
        <v>31</v>
      </c>
      <c r="E30" t="s">
        <v>35</v>
      </c>
    </row>
    <row r="31" spans="1:37" x14ac:dyDescent="0.25">
      <c r="A31" t="s">
        <v>41</v>
      </c>
      <c r="C31">
        <f>AJ21</f>
        <v>1.3012833685154397</v>
      </c>
      <c r="D31" t="str">
        <f>IF(C31&lt;AJ23,"p &gt; 0.05","p&lt;0.05")</f>
        <v>p &gt; 0.05</v>
      </c>
      <c r="E31" t="str">
        <f>IF(C31&lt;AK23,"p &gt; 0.05","p&lt;0.05")</f>
        <v>p &gt; 0.05</v>
      </c>
    </row>
    <row r="32" spans="1:37" x14ac:dyDescent="0.25">
      <c r="D32" t="str">
        <f>IF(C31&lt;AJ24,"p &gt; 0.01","p&lt;0.01")</f>
        <v>p &gt; 0.01</v>
      </c>
      <c r="E32" t="str">
        <f>IF(C31&lt;AK24,"p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B22" sqref="A1:B22"/>
    </sheetView>
  </sheetViews>
  <sheetFormatPr defaultRowHeight="15" x14ac:dyDescent="0.25"/>
  <sheetData>
    <row r="1" spans="1:9" x14ac:dyDescent="0.25">
      <c r="A1" t="s">
        <v>75</v>
      </c>
      <c r="B1" s="28">
        <v>1</v>
      </c>
    </row>
    <row r="2" spans="1:9" x14ac:dyDescent="0.25">
      <c r="A2" t="s">
        <v>75</v>
      </c>
      <c r="B2" s="28">
        <v>1</v>
      </c>
    </row>
    <row r="3" spans="1:9" ht="15.75" thickBot="1" x14ac:dyDescent="0.3">
      <c r="A3" t="s">
        <v>75</v>
      </c>
      <c r="B3" s="28">
        <v>1</v>
      </c>
    </row>
    <row r="4" spans="1:9" ht="32.25" thickBot="1" x14ac:dyDescent="0.3">
      <c r="A4" t="s">
        <v>75</v>
      </c>
      <c r="B4" s="28">
        <v>1</v>
      </c>
      <c r="E4" s="18"/>
      <c r="F4" s="19" t="s">
        <v>57</v>
      </c>
      <c r="G4" s="2" t="s">
        <v>58</v>
      </c>
      <c r="H4" s="2" t="s">
        <v>60</v>
      </c>
      <c r="I4" s="2" t="s">
        <v>61</v>
      </c>
    </row>
    <row r="5" spans="1:9" ht="19.5" thickBot="1" x14ac:dyDescent="0.3">
      <c r="A5" t="s">
        <v>75</v>
      </c>
      <c r="B5" s="28">
        <v>1</v>
      </c>
      <c r="D5" s="31" t="s">
        <v>51</v>
      </c>
      <c r="E5" s="32"/>
      <c r="F5" s="12">
        <v>5</v>
      </c>
      <c r="G5" s="12">
        <v>3</v>
      </c>
      <c r="H5" s="12">
        <v>2</v>
      </c>
      <c r="I5" s="12">
        <v>1</v>
      </c>
    </row>
    <row r="6" spans="1:9" ht="19.5" thickBot="1" x14ac:dyDescent="0.3">
      <c r="A6" t="s">
        <v>75</v>
      </c>
      <c r="B6" s="28">
        <v>2</v>
      </c>
      <c r="D6" s="31" t="s">
        <v>52</v>
      </c>
      <c r="E6" s="32"/>
      <c r="F6" s="12">
        <v>1</v>
      </c>
      <c r="G6" s="12">
        <v>2</v>
      </c>
      <c r="H6" s="12">
        <v>3</v>
      </c>
      <c r="I6" s="12">
        <v>5</v>
      </c>
    </row>
    <row r="7" spans="1:9" x14ac:dyDescent="0.25">
      <c r="A7" t="s">
        <v>75</v>
      </c>
      <c r="B7" s="28">
        <v>2</v>
      </c>
    </row>
    <row r="8" spans="1:9" x14ac:dyDescent="0.25">
      <c r="A8" t="s">
        <v>75</v>
      </c>
      <c r="B8" s="28">
        <v>2</v>
      </c>
      <c r="F8">
        <v>1</v>
      </c>
      <c r="G8">
        <v>2</v>
      </c>
      <c r="H8">
        <v>3</v>
      </c>
      <c r="I8">
        <v>4</v>
      </c>
    </row>
    <row r="9" spans="1:9" x14ac:dyDescent="0.25">
      <c r="A9" t="s">
        <v>75</v>
      </c>
      <c r="B9" s="28">
        <v>3</v>
      </c>
    </row>
    <row r="10" spans="1:9" x14ac:dyDescent="0.25">
      <c r="A10" t="s">
        <v>75</v>
      </c>
      <c r="B10" s="28">
        <v>3</v>
      </c>
    </row>
    <row r="11" spans="1:9" x14ac:dyDescent="0.25">
      <c r="A11" t="s">
        <v>75</v>
      </c>
      <c r="B11" s="28">
        <v>4</v>
      </c>
    </row>
    <row r="12" spans="1:9" x14ac:dyDescent="0.25">
      <c r="A12" t="s">
        <v>76</v>
      </c>
      <c r="B12" s="28">
        <v>1</v>
      </c>
    </row>
    <row r="13" spans="1:9" x14ac:dyDescent="0.25">
      <c r="A13" t="s">
        <v>76</v>
      </c>
      <c r="B13" s="28">
        <v>2</v>
      </c>
    </row>
    <row r="14" spans="1:9" x14ac:dyDescent="0.25">
      <c r="A14" t="s">
        <v>76</v>
      </c>
      <c r="B14" s="28">
        <v>2</v>
      </c>
    </row>
    <row r="15" spans="1:9" x14ac:dyDescent="0.25">
      <c r="A15" t="s">
        <v>76</v>
      </c>
      <c r="B15" s="28">
        <v>3</v>
      </c>
    </row>
    <row r="16" spans="1:9" x14ac:dyDescent="0.25">
      <c r="A16" t="s">
        <v>76</v>
      </c>
      <c r="B16" s="28">
        <v>3</v>
      </c>
    </row>
    <row r="17" spans="1:4" x14ac:dyDescent="0.25">
      <c r="A17" t="s">
        <v>76</v>
      </c>
      <c r="B17" s="28">
        <v>3</v>
      </c>
      <c r="C17" s="1"/>
      <c r="D17" s="1"/>
    </row>
    <row r="18" spans="1:4" x14ac:dyDescent="0.25">
      <c r="A18" t="s">
        <v>76</v>
      </c>
      <c r="B18" s="28">
        <v>4</v>
      </c>
      <c r="C18" s="1"/>
      <c r="D18" s="1"/>
    </row>
    <row r="19" spans="1:4" x14ac:dyDescent="0.25">
      <c r="A19" t="s">
        <v>76</v>
      </c>
      <c r="B19" s="28">
        <v>4</v>
      </c>
      <c r="C19" s="1"/>
      <c r="D19" s="1"/>
    </row>
    <row r="20" spans="1:4" x14ac:dyDescent="0.25">
      <c r="A20" t="s">
        <v>76</v>
      </c>
      <c r="B20" s="28">
        <v>4</v>
      </c>
      <c r="C20" s="1"/>
      <c r="D20" s="1"/>
    </row>
    <row r="21" spans="1:4" x14ac:dyDescent="0.25">
      <c r="A21" t="s">
        <v>76</v>
      </c>
      <c r="B21" s="28">
        <v>4</v>
      </c>
      <c r="C21" s="1"/>
      <c r="D21" s="1"/>
    </row>
    <row r="22" spans="1:4" x14ac:dyDescent="0.25">
      <c r="A22" t="s">
        <v>76</v>
      </c>
      <c r="B22" s="28">
        <v>4</v>
      </c>
      <c r="C22" s="1"/>
      <c r="D22" s="1"/>
    </row>
    <row r="23" spans="1:4" x14ac:dyDescent="0.25">
      <c r="B23" s="1"/>
      <c r="C23" s="1"/>
      <c r="D23" s="1"/>
    </row>
    <row r="24" spans="1:4" x14ac:dyDescent="0.25">
      <c r="B24" s="1"/>
      <c r="C24" s="1"/>
      <c r="D24" s="1"/>
    </row>
    <row r="25" spans="1:4" x14ac:dyDescent="0.25">
      <c r="B25" s="1"/>
      <c r="C25" s="1"/>
      <c r="D25" s="1"/>
    </row>
    <row r="26" spans="1:4" x14ac:dyDescent="0.25">
      <c r="B26" s="1"/>
      <c r="C26" s="1"/>
      <c r="D26" s="1"/>
    </row>
  </sheetData>
  <mergeCells count="2">
    <mergeCell ref="D5:E5"/>
    <mergeCell ref="D6:E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8"/>
  <sheetViews>
    <sheetView topLeftCell="A2" workbookViewId="0">
      <selection activeCell="J2" sqref="A1:J1048576"/>
    </sheetView>
  </sheetViews>
  <sheetFormatPr defaultRowHeight="15" x14ac:dyDescent="0.25"/>
  <cols>
    <col min="1" max="10" width="9.140625" style="25"/>
  </cols>
  <sheetData>
    <row r="4" spans="2:9" ht="18.75" x14ac:dyDescent="0.25">
      <c r="C4" s="18"/>
      <c r="D4" s="13"/>
      <c r="E4" s="13"/>
      <c r="F4" s="13"/>
      <c r="G4" s="13"/>
      <c r="H4" s="13"/>
      <c r="I4" s="13"/>
    </row>
    <row r="5" spans="2:9" ht="18.75" x14ac:dyDescent="0.25">
      <c r="B5" s="33"/>
      <c r="C5" s="33"/>
      <c r="D5" s="18"/>
      <c r="E5" s="18"/>
      <c r="F5" s="18"/>
      <c r="G5" s="18"/>
      <c r="H5" s="18"/>
      <c r="I5" s="18"/>
    </row>
    <row r="6" spans="2:9" ht="18.75" x14ac:dyDescent="0.25">
      <c r="B6" s="33"/>
      <c r="C6" s="33"/>
      <c r="D6" s="18"/>
      <c r="E6" s="18"/>
      <c r="F6" s="18"/>
      <c r="G6" s="18"/>
      <c r="H6" s="18"/>
      <c r="I6" s="18"/>
    </row>
    <row r="8" spans="2:9" ht="18.75" x14ac:dyDescent="0.3">
      <c r="B8" s="26"/>
      <c r="D8" s="24"/>
      <c r="E8" s="24"/>
      <c r="F8" s="24"/>
      <c r="G8" s="24"/>
      <c r="H8" s="24"/>
      <c r="I8" s="24"/>
    </row>
  </sheetData>
  <mergeCells count="2">
    <mergeCell ref="B5:C5"/>
    <mergeCell ref="B6:C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11"/>
  <sheetViews>
    <sheetView workbookViewId="0">
      <selection activeCell="N1" sqref="A1:N1048576"/>
    </sheetView>
  </sheetViews>
  <sheetFormatPr defaultRowHeight="15" x14ac:dyDescent="0.25"/>
  <cols>
    <col min="1" max="14" width="9.140625" style="25"/>
  </cols>
  <sheetData>
    <row r="6" spans="3:5" ht="18.75" x14ac:dyDescent="0.25">
      <c r="C6" s="27"/>
      <c r="D6" s="18"/>
      <c r="E6" s="18"/>
    </row>
    <row r="7" spans="3:5" ht="18.75" x14ac:dyDescent="0.25">
      <c r="C7" s="27"/>
      <c r="D7" s="18"/>
      <c r="E7" s="18"/>
    </row>
    <row r="8" spans="3:5" ht="18.75" x14ac:dyDescent="0.25">
      <c r="C8" s="27"/>
      <c r="D8" s="18"/>
      <c r="E8" s="18"/>
    </row>
    <row r="9" spans="3:5" ht="18.75" x14ac:dyDescent="0.25">
      <c r="C9" s="27"/>
      <c r="D9" s="18"/>
      <c r="E9" s="18"/>
    </row>
    <row r="10" spans="3:5" ht="18.75" x14ac:dyDescent="0.25">
      <c r="C10" s="27"/>
      <c r="D10" s="18"/>
      <c r="E10" s="18"/>
    </row>
    <row r="11" spans="3:5" ht="18.75" x14ac:dyDescent="0.25">
      <c r="C11" s="27"/>
      <c r="D11" s="18"/>
      <c r="E11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L34"/>
  <sheetViews>
    <sheetView topLeftCell="A10" workbookViewId="0">
      <selection activeCell="C38" sqref="C38:C39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36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36" x14ac:dyDescent="0.25">
      <c r="B3" s="30"/>
      <c r="C3" s="30"/>
      <c r="D3" s="30"/>
      <c r="E3" s="30"/>
      <c r="F3" s="30"/>
      <c r="G3" s="30"/>
      <c r="H3" s="30"/>
      <c r="I3" s="30"/>
    </row>
    <row r="4" spans="1:36" x14ac:dyDescent="0.25">
      <c r="S4" t="s">
        <v>29</v>
      </c>
    </row>
    <row r="5" spans="1:36" ht="15.75" customHeight="1" thickBot="1" x14ac:dyDescent="0.3">
      <c r="L5" t="s">
        <v>84</v>
      </c>
    </row>
    <row r="6" spans="1:36" ht="32.25" thickBot="1" x14ac:dyDescent="0.3">
      <c r="C6" s="18"/>
      <c r="D6" s="19" t="s">
        <v>57</v>
      </c>
      <c r="E6" s="2" t="s">
        <v>58</v>
      </c>
      <c r="F6" s="2" t="s">
        <v>60</v>
      </c>
      <c r="G6" s="2" t="s">
        <v>61</v>
      </c>
      <c r="I6" s="9" t="s">
        <v>7</v>
      </c>
      <c r="J6" s="9"/>
      <c r="K6" s="9"/>
      <c r="L6" s="9" t="str">
        <f>D6</f>
        <v>Strongly agree</v>
      </c>
      <c r="M6" s="9" t="str">
        <f t="shared" ref="M6:O6" si="0">E6</f>
        <v>Agree</v>
      </c>
      <c r="N6" s="9" t="str">
        <f t="shared" si="0"/>
        <v>Disagree</v>
      </c>
      <c r="O6" s="9" t="str">
        <f t="shared" si="0"/>
        <v>Strongly disagree</v>
      </c>
      <c r="P6" s="9"/>
      <c r="Q6" s="13"/>
      <c r="S6" s="4" t="str">
        <f>D6</f>
        <v>Strongly agree</v>
      </c>
      <c r="T6" s="4" t="str">
        <f>E6</f>
        <v>Agree</v>
      </c>
      <c r="U6" s="4" t="str">
        <f t="shared" ref="U6:V6" si="1">F6</f>
        <v>Disagree</v>
      </c>
      <c r="V6" s="4" t="str">
        <f t="shared" si="1"/>
        <v>Strongly disagree</v>
      </c>
      <c r="W6" s="4"/>
      <c r="X6" s="4"/>
      <c r="Y6" s="2" t="s">
        <v>7</v>
      </c>
      <c r="Z6" s="4"/>
      <c r="AB6" s="4" t="str">
        <f>D6</f>
        <v>Strongly agree</v>
      </c>
      <c r="AC6" s="4" t="str">
        <f>E6</f>
        <v>Agree</v>
      </c>
      <c r="AD6" s="4" t="str">
        <f>F6</f>
        <v>Disagree</v>
      </c>
      <c r="AE6" s="4" t="str">
        <f>G6</f>
        <v>Strongly disagree</v>
      </c>
      <c r="AF6" s="4"/>
      <c r="AH6" t="s">
        <v>9</v>
      </c>
    </row>
    <row r="7" spans="1:36" ht="19.5" thickBot="1" x14ac:dyDescent="0.3">
      <c r="B7" s="31" t="s">
        <v>51</v>
      </c>
      <c r="C7" s="32"/>
      <c r="D7" s="12">
        <v>16</v>
      </c>
      <c r="E7" s="12">
        <v>39</v>
      </c>
      <c r="F7" s="12">
        <v>25</v>
      </c>
      <c r="G7" s="12">
        <v>45</v>
      </c>
      <c r="I7">
        <f>SUM(D7:G7)</f>
        <v>125</v>
      </c>
      <c r="K7" t="str">
        <f>B7</f>
        <v>Male</v>
      </c>
      <c r="L7">
        <f>(D7/$I7)*100</f>
        <v>12.8</v>
      </c>
      <c r="M7">
        <f t="shared" ref="M7:O7" si="2">(E7/$I7)*100</f>
        <v>31.2</v>
      </c>
      <c r="N7">
        <f t="shared" si="2"/>
        <v>20</v>
      </c>
      <c r="O7">
        <f t="shared" si="2"/>
        <v>36</v>
      </c>
      <c r="Q7" s="13"/>
      <c r="R7" t="str">
        <f>B7</f>
        <v>Male</v>
      </c>
      <c r="S7">
        <f>D7</f>
        <v>16</v>
      </c>
      <c r="T7">
        <f>E7+S7</f>
        <v>55</v>
      </c>
      <c r="U7">
        <f t="shared" ref="U7:V7" si="3">F7+T7</f>
        <v>80</v>
      </c>
      <c r="V7">
        <f t="shared" si="3"/>
        <v>125</v>
      </c>
      <c r="Y7" s="3">
        <f>SUM(D7:G7)</f>
        <v>125</v>
      </c>
      <c r="AA7" t="str">
        <f>B7</f>
        <v>Male</v>
      </c>
      <c r="AB7">
        <f>D7*D10</f>
        <v>64</v>
      </c>
      <c r="AC7">
        <f>E7*E10</f>
        <v>117</v>
      </c>
      <c r="AD7">
        <f t="shared" ref="AD7:AE7" si="4">F7*F10</f>
        <v>50</v>
      </c>
      <c r="AE7">
        <f t="shared" si="4"/>
        <v>45</v>
      </c>
      <c r="AH7">
        <f>SUM(AB7:AE7)/Y7</f>
        <v>2.2080000000000002</v>
      </c>
      <c r="AI7" t="s">
        <v>15</v>
      </c>
      <c r="AJ7">
        <f>MAX(AH7:AH8)</f>
        <v>2.7663551401869158</v>
      </c>
    </row>
    <row r="8" spans="1:36" ht="19.5" thickBot="1" x14ac:dyDescent="0.3">
      <c r="B8" s="31" t="s">
        <v>52</v>
      </c>
      <c r="C8" s="32"/>
      <c r="D8" s="12">
        <v>22</v>
      </c>
      <c r="E8" s="12">
        <v>51</v>
      </c>
      <c r="F8" s="12">
        <v>21</v>
      </c>
      <c r="G8" s="12">
        <v>13</v>
      </c>
      <c r="I8">
        <f>SUM(D8:G8)</f>
        <v>107</v>
      </c>
      <c r="K8" t="str">
        <f>B8</f>
        <v>Female</v>
      </c>
      <c r="L8">
        <f>(D8/$I8)*100</f>
        <v>20.5607476635514</v>
      </c>
      <c r="M8">
        <f t="shared" ref="M8" si="5">(E8/$I8)*100</f>
        <v>47.663551401869157</v>
      </c>
      <c r="N8">
        <f t="shared" ref="N8" si="6">(F8/$I8)*100</f>
        <v>19.626168224299064</v>
      </c>
      <c r="O8">
        <f t="shared" ref="O8" si="7">(G8/$I8)*100</f>
        <v>12.149532710280374</v>
      </c>
      <c r="Q8" s="13"/>
      <c r="R8" t="str">
        <f>B8</f>
        <v>Female</v>
      </c>
      <c r="S8">
        <f>D8</f>
        <v>22</v>
      </c>
      <c r="T8">
        <f>E8+S8</f>
        <v>73</v>
      </c>
      <c r="U8">
        <f t="shared" ref="U8:V8" si="8">F8+T8</f>
        <v>94</v>
      </c>
      <c r="V8">
        <f t="shared" si="8"/>
        <v>107</v>
      </c>
      <c r="Y8" s="3">
        <f>SUM(D8:G8)</f>
        <v>107</v>
      </c>
      <c r="AA8" t="str">
        <f>B8</f>
        <v>Female</v>
      </c>
      <c r="AB8">
        <f>D8*D10</f>
        <v>88</v>
      </c>
      <c r="AC8">
        <f>E8*E10</f>
        <v>153</v>
      </c>
      <c r="AD8">
        <f t="shared" ref="AD8:AE8" si="9">F8*F10</f>
        <v>42</v>
      </c>
      <c r="AE8">
        <f t="shared" si="9"/>
        <v>13</v>
      </c>
      <c r="AH8">
        <f>SUM(AB8:AE8)/Y8</f>
        <v>2.7663551401869158</v>
      </c>
      <c r="AI8" t="s">
        <v>16</v>
      </c>
      <c r="AJ8">
        <f>MIN(AH7:AH8)</f>
        <v>2.2080000000000002</v>
      </c>
    </row>
    <row r="9" spans="1:36" x14ac:dyDescent="0.25">
      <c r="Y9" t="s">
        <v>18</v>
      </c>
      <c r="AH9" t="s">
        <v>10</v>
      </c>
      <c r="AI9" t="s">
        <v>11</v>
      </c>
    </row>
    <row r="10" spans="1:36" ht="18.75" x14ac:dyDescent="0.3">
      <c r="B10" s="8" t="s">
        <v>8</v>
      </c>
      <c r="D10" s="6">
        <v>4</v>
      </c>
      <c r="E10" s="6">
        <v>3</v>
      </c>
      <c r="F10" s="6">
        <v>2</v>
      </c>
      <c r="G10" s="6">
        <v>1</v>
      </c>
      <c r="R10" t="s">
        <v>17</v>
      </c>
      <c r="S10">
        <f>ABS(S7-S8)</f>
        <v>6</v>
      </c>
      <c r="T10">
        <f t="shared" ref="T10" si="10">ABS(T7-T8)</f>
        <v>18</v>
      </c>
      <c r="U10">
        <f t="shared" ref="U10:V10" si="11">ABS(U7-U8)</f>
        <v>14</v>
      </c>
      <c r="V10">
        <f t="shared" si="11"/>
        <v>18</v>
      </c>
      <c r="Y10">
        <f>MAX(S10:V10)</f>
        <v>18</v>
      </c>
      <c r="AA10" t="str">
        <f>AA7</f>
        <v>Male</v>
      </c>
      <c r="AB10">
        <f>((D10-$AH7)^2)*D7</f>
        <v>51.380223999999991</v>
      </c>
      <c r="AC10">
        <f>((E10-$AH7)^2)*E7</f>
        <v>24.463295999999989</v>
      </c>
      <c r="AD10">
        <f t="shared" ref="AD10:AE10" si="12">((F10-$AH7)^2)*F7</f>
        <v>1.0816000000000021</v>
      </c>
      <c r="AE10">
        <f t="shared" si="12"/>
        <v>65.66688000000002</v>
      </c>
      <c r="AH10">
        <f>(SUM(AB10:AE10))/(Y7-1)</f>
        <v>1.1499354838709679</v>
      </c>
      <c r="AI10" s="5">
        <f>AH10^0.5</f>
        <v>1.0723504482541926</v>
      </c>
    </row>
    <row r="11" spans="1:36" x14ac:dyDescent="0.25">
      <c r="M11" t="s">
        <v>63</v>
      </c>
      <c r="O11" t="s">
        <v>65</v>
      </c>
      <c r="AA11" t="str">
        <f>AA8</f>
        <v>Female</v>
      </c>
      <c r="AB11">
        <f>((D10-$AH8)^2)*D8</f>
        <v>33.481352083151378</v>
      </c>
      <c r="AC11">
        <f>((E10-$AH8)^2)*E8</f>
        <v>2.7840859463708654</v>
      </c>
      <c r="AD11">
        <f t="shared" ref="AD11:AE11" si="13">((F10-$AH8)^2)*F8</f>
        <v>12.333304218709053</v>
      </c>
      <c r="AE11">
        <f t="shared" si="13"/>
        <v>40.560136256441609</v>
      </c>
      <c r="AH11">
        <f>(SUM(AC11:AE11))/(Y8-1)</f>
        <v>0.5252596832219012</v>
      </c>
      <c r="AI11" s="5">
        <f>AH11^0.5</f>
        <v>0.72474801360328078</v>
      </c>
    </row>
    <row r="12" spans="1:36" ht="17.25" customHeight="1" x14ac:dyDescent="0.25">
      <c r="A12" s="17"/>
      <c r="B12" s="17"/>
      <c r="C12" s="14" t="s">
        <v>19</v>
      </c>
      <c r="D12" s="14">
        <f>IF(Y7=Y8,Y10,Y16)</f>
        <v>0.24224299065420557</v>
      </c>
      <c r="E12" s="16"/>
      <c r="F12" s="16" t="s">
        <v>31</v>
      </c>
      <c r="G12" s="22">
        <f>IF(Z26&lt;1,Z26,"na")</f>
        <v>2.3043649630091908E-3</v>
      </c>
      <c r="H12" s="30" t="s">
        <v>39</v>
      </c>
      <c r="I12" s="30"/>
      <c r="J12" s="30"/>
      <c r="K12" s="30"/>
      <c r="M12" t="s">
        <v>62</v>
      </c>
      <c r="N12">
        <f>IF(MIN(Y7:Y8)&gt;39,AA19,"na")</f>
        <v>0.17911666954365588</v>
      </c>
      <c r="O12" s="23" t="str">
        <f>IF(MIN(Y7:Y8)&gt;39,AB19,"na")</f>
        <v>Yes</v>
      </c>
      <c r="T12" s="4"/>
      <c r="U12" s="4"/>
      <c r="V12" s="4"/>
      <c r="W12" s="4"/>
      <c r="X12" s="4"/>
    </row>
    <row r="13" spans="1:36" ht="15" customHeight="1" x14ac:dyDescent="0.25">
      <c r="A13" s="17"/>
      <c r="B13" s="17"/>
      <c r="F13" t="s">
        <v>35</v>
      </c>
      <c r="G13">
        <f>Z24</f>
        <v>1.1521824815045954E-3</v>
      </c>
      <c r="H13" s="30"/>
      <c r="I13" s="30"/>
      <c r="J13" s="30"/>
      <c r="K13" s="30"/>
      <c r="M13" t="s">
        <v>64</v>
      </c>
      <c r="N13">
        <f>IF(MIN(Y7:Y8)&gt;39,AA20,"na")</f>
        <v>0.21467659658541105</v>
      </c>
      <c r="O13" s="23" t="str">
        <f>IF(MIN(Y7:Y8)&gt;39,AB20,"na")</f>
        <v>Yes</v>
      </c>
      <c r="R13" t="str">
        <f>B7</f>
        <v>Male</v>
      </c>
      <c r="S13">
        <f>S7/$Y7</f>
        <v>0.128</v>
      </c>
      <c r="T13">
        <f>T7/$Y7</f>
        <v>0.44</v>
      </c>
      <c r="U13">
        <f t="shared" ref="U13:V13" si="14">U7/$Y7</f>
        <v>0.64</v>
      </c>
      <c r="V13">
        <f t="shared" si="14"/>
        <v>1</v>
      </c>
      <c r="AH13" t="s">
        <v>12</v>
      </c>
      <c r="AI13">
        <f>AJ7-AJ8</f>
        <v>0.55835514018691557</v>
      </c>
    </row>
    <row r="14" spans="1:36" ht="18.75" x14ac:dyDescent="0.3">
      <c r="A14" s="8" t="s">
        <v>20</v>
      </c>
      <c r="B14" s="8"/>
      <c r="C14" s="8" t="s">
        <v>21</v>
      </c>
      <c r="D14" s="7" t="str">
        <f>IF(Y7=Y8,D12/((Y7+Y8)/2),"Use Dmax")</f>
        <v>Use Dmax</v>
      </c>
      <c r="H14" s="30"/>
      <c r="I14" s="30"/>
      <c r="J14" s="30"/>
      <c r="K14" s="30"/>
      <c r="M14" t="s">
        <v>64</v>
      </c>
      <c r="N14">
        <f>IF(MIN(Y7:Y8)&gt;39,AA21,"na")</f>
        <v>0.2568216953015654</v>
      </c>
      <c r="O14" s="23" t="str">
        <f>IF(MIN(Y7:Y8)&gt;39,AB21,"na")</f>
        <v>No</v>
      </c>
      <c r="R14" t="str">
        <f>B8</f>
        <v>Female</v>
      </c>
      <c r="S14">
        <f>S8/$Y8</f>
        <v>0.20560747663551401</v>
      </c>
      <c r="T14">
        <f>T8/$Y8</f>
        <v>0.68224299065420557</v>
      </c>
      <c r="U14">
        <f t="shared" ref="U14:V14" si="15">U8/$Y8</f>
        <v>0.87850467289719625</v>
      </c>
      <c r="V14">
        <f t="shared" si="15"/>
        <v>1</v>
      </c>
      <c r="AH14" t="s">
        <v>13</v>
      </c>
      <c r="AI14">
        <f>((AH10/Y7)+(AH11/Y8))^0.5</f>
        <v>0.11877900855387533</v>
      </c>
    </row>
    <row r="15" spans="1:36" ht="18.75" x14ac:dyDescent="0.3">
      <c r="A15" s="8"/>
      <c r="B15" s="8"/>
      <c r="C15" s="8"/>
      <c r="D15" s="8"/>
      <c r="Y15" t="s">
        <v>18</v>
      </c>
      <c r="AH15" t="s">
        <v>14</v>
      </c>
      <c r="AI15" s="15">
        <f>AI13/AI14</f>
        <v>4.7007897016892422</v>
      </c>
    </row>
    <row r="16" spans="1:36" x14ac:dyDescent="0.25">
      <c r="A16" s="30" t="str">
        <f>IF(MIN(Y7:Y8)&lt;50,"Your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7.7607476635514011E-2</v>
      </c>
      <c r="T16">
        <f t="shared" ref="T16" si="16">ABS(T13-T14)</f>
        <v>0.24224299065420557</v>
      </c>
      <c r="U16">
        <f t="shared" ref="U16:V16" si="17">ABS(U13-U14)</f>
        <v>0.23850467289719623</v>
      </c>
      <c r="V16">
        <f t="shared" si="17"/>
        <v>0</v>
      </c>
      <c r="Y16">
        <f>MAX(S16:V16)</f>
        <v>0.24224299065420557</v>
      </c>
      <c r="AH16" t="s">
        <v>0</v>
      </c>
      <c r="AI16">
        <f>Y7+Y8-2</f>
        <v>230</v>
      </c>
    </row>
    <row r="17" spans="1:38" x14ac:dyDescent="0.25">
      <c r="A17" s="30"/>
      <c r="B17" s="30"/>
      <c r="C17" s="30"/>
      <c r="D17" s="30"/>
      <c r="AJ17" t="s">
        <v>31</v>
      </c>
      <c r="AK17">
        <f>_xlfn.T.DIST.2T(AI15,AI16)</f>
        <v>4.4654702148833677E-6</v>
      </c>
    </row>
    <row r="18" spans="1:38" x14ac:dyDescent="0.25">
      <c r="A18" s="30"/>
      <c r="B18" s="30"/>
      <c r="C18" s="30"/>
      <c r="D18" s="30"/>
      <c r="Y18" t="s">
        <v>25</v>
      </c>
      <c r="AA18">
        <f>((Y7+Y8)/(Y7*Y8))^0.5</f>
        <v>0.13170343348798225</v>
      </c>
      <c r="AJ18" t="s">
        <v>35</v>
      </c>
      <c r="AK18">
        <f>AK17/2</f>
        <v>2.2327351074416839E-6</v>
      </c>
    </row>
    <row r="19" spans="1:38" x14ac:dyDescent="0.25">
      <c r="Y19">
        <v>0.05</v>
      </c>
      <c r="Z19">
        <v>1.36</v>
      </c>
      <c r="AA19">
        <f>Z19*AA18</f>
        <v>0.17911666954365588</v>
      </c>
      <c r="AB19" t="str">
        <f>IF(Y16&gt;AA19,"Yes","No")</f>
        <v>Yes</v>
      </c>
      <c r="AJ19" t="s">
        <v>36</v>
      </c>
      <c r="AK19">
        <f>_xlfn.NORM.S.INV(AK18)</f>
        <v>-4.5884510328566934</v>
      </c>
    </row>
    <row r="20" spans="1:38" ht="18.75" x14ac:dyDescent="0.3">
      <c r="A20" s="10" t="s">
        <v>22</v>
      </c>
      <c r="B20" s="10"/>
      <c r="C20" s="8" t="s">
        <v>26</v>
      </c>
      <c r="D20" s="7">
        <f>IF(MIN(Y7:Y8)&gt;24,AI15,"na")</f>
        <v>4.7007897016892422</v>
      </c>
      <c r="Y20">
        <v>0.01</v>
      </c>
      <c r="Z20">
        <v>1.63</v>
      </c>
      <c r="AA20">
        <f>Z20*AA18</f>
        <v>0.21467659658541105</v>
      </c>
      <c r="AB20" t="str">
        <f>IF(Y16&gt;AA20,"Yes","No")</f>
        <v>Yes</v>
      </c>
      <c r="AJ20" t="s">
        <v>37</v>
      </c>
      <c r="AK20">
        <f>AK19/((Y7+Y8)^0.5)</f>
        <v>-0.30124656873796102</v>
      </c>
    </row>
    <row r="21" spans="1:38" ht="18.75" x14ac:dyDescent="0.3">
      <c r="A21" s="10"/>
      <c r="B21" s="10" t="s">
        <v>23</v>
      </c>
      <c r="C21" s="8" t="s">
        <v>25</v>
      </c>
      <c r="D21" s="7">
        <f>IF(MIN(Y7:Y8)&gt;24,AK17,"na")</f>
        <v>4.4654702148833677E-6</v>
      </c>
      <c r="Y21">
        <v>1E-3</v>
      </c>
      <c r="Z21">
        <v>1.95</v>
      </c>
      <c r="AA21">
        <f>Z21*AA18</f>
        <v>0.2568216953015654</v>
      </c>
      <c r="AB21" t="str">
        <f>IF(Y16&gt;AA21,"Yes","No")</f>
        <v>No</v>
      </c>
      <c r="AJ21" t="s">
        <v>40</v>
      </c>
      <c r="AK21">
        <f>(MAX(AI10:AI11))/(MIN(AI10:AI11))</f>
        <v>1.4796183337194844</v>
      </c>
    </row>
    <row r="22" spans="1:38" ht="18.75" x14ac:dyDescent="0.3">
      <c r="A22" s="10"/>
      <c r="B22" s="10" t="s">
        <v>24</v>
      </c>
      <c r="C22" s="8" t="s">
        <v>25</v>
      </c>
      <c r="D22" s="7">
        <f>IF(MIN(Y7:Y8)&gt;24,D21/2,"na")</f>
        <v>2.2327351074416839E-6</v>
      </c>
      <c r="AK22" t="s">
        <v>44</v>
      </c>
      <c r="AL22" t="s">
        <v>45</v>
      </c>
    </row>
    <row r="23" spans="1:38" x14ac:dyDescent="0.25">
      <c r="Y23" t="s">
        <v>32</v>
      </c>
      <c r="Z23">
        <f>(4*(Y16^2))</f>
        <v>0.23472666608437412</v>
      </c>
      <c r="AA23">
        <f>(Y7*Y8)/(Y7+Y8)</f>
        <v>57.650862068965516</v>
      </c>
      <c r="AB23">
        <f>Z23*AA23</f>
        <v>13.532194650338379</v>
      </c>
      <c r="AJ23" t="s">
        <v>42</v>
      </c>
      <c r="AK23">
        <f>_xlfn.F.INV.RT(0.025,MAX(Y7:Y8)-1,MIN(Y7:Y8)-1)</f>
        <v>1.4494620981932282</v>
      </c>
      <c r="AL23">
        <f>_xlfn.F.INV.RT(0.05,MAX(Y7:Y8)-1,MIN(Y7:Y8)-1)</f>
        <v>1.3650138017190474</v>
      </c>
    </row>
    <row r="24" spans="1:38" ht="15.75" x14ac:dyDescent="0.25">
      <c r="B24" s="7" t="s">
        <v>27</v>
      </c>
      <c r="C24" s="7" t="s">
        <v>28</v>
      </c>
      <c r="Y24" t="s">
        <v>33</v>
      </c>
      <c r="Z24">
        <f>_xlfn.CHISQ.DIST.RT(AB23,2)</f>
        <v>1.1521824815045954E-3</v>
      </c>
      <c r="AJ24" t="s">
        <v>43</v>
      </c>
      <c r="AK24">
        <f>_xlfn.F.INV.RT(0.005,MAX(Y7:Y8)-1,MIN(Y7:Y8)-1)</f>
        <v>1.6311273977675211</v>
      </c>
      <c r="AL24">
        <f>_xlfn.F.INV.RT(0.01,MAX(Y7:Y8)-1,MIN(Y7:Y8)-1)</f>
        <v>1.5547412210986697</v>
      </c>
    </row>
    <row r="25" spans="1:38" ht="15.75" x14ac:dyDescent="0.25">
      <c r="A25" s="7" t="str">
        <f>B7</f>
        <v>Male</v>
      </c>
      <c r="B25">
        <f>AH7</f>
        <v>2.2080000000000002</v>
      </c>
      <c r="C25" s="5">
        <f>AI10</f>
        <v>1.0723504482541926</v>
      </c>
    </row>
    <row r="26" spans="1:38" ht="15.75" x14ac:dyDescent="0.25">
      <c r="A26" s="7" t="str">
        <f>B8</f>
        <v>Female</v>
      </c>
      <c r="B26" s="5">
        <f>AH8</f>
        <v>2.7663551401869158</v>
      </c>
      <c r="C26" s="5">
        <f>AI11</f>
        <v>0.72474801360328078</v>
      </c>
      <c r="Y26" t="s">
        <v>34</v>
      </c>
      <c r="Z26">
        <f>Z24*2</f>
        <v>2.3043649630091908E-3</v>
      </c>
    </row>
    <row r="28" spans="1:38" x14ac:dyDescent="0.25">
      <c r="A28" t="s">
        <v>38</v>
      </c>
      <c r="C28">
        <f>ABS(AK20)</f>
        <v>0.30124656873796102</v>
      </c>
    </row>
    <row r="30" spans="1:38" x14ac:dyDescent="0.25">
      <c r="D30" t="s">
        <v>31</v>
      </c>
      <c r="E30" t="s">
        <v>35</v>
      </c>
    </row>
    <row r="31" spans="1:38" x14ac:dyDescent="0.25">
      <c r="A31" t="s">
        <v>41</v>
      </c>
      <c r="C31">
        <f>AK21</f>
        <v>1.4796183337194844</v>
      </c>
      <c r="D31" t="str">
        <f>IF(C31&lt;AK23,"p &gt; 0.05","p&lt;0.05")</f>
        <v>p&lt;0.05</v>
      </c>
      <c r="E31" t="str">
        <f>IF(C31&lt;AL23,"p &gt; 0.05","p&lt;0.05")</f>
        <v>p&lt;0.05</v>
      </c>
    </row>
    <row r="32" spans="1:38" x14ac:dyDescent="0.25">
      <c r="D32" t="str">
        <f>IF(C31&lt;AK24,"p &gt; 0.01","p&lt;0.01")</f>
        <v>p &gt; 0.01</v>
      </c>
      <c r="E32" t="str">
        <f>IF(C31&lt;AL24,"p &gt; 0.01","p&lt;0.01")</f>
        <v>p &gt; 0.01</v>
      </c>
    </row>
    <row r="34" spans="2:2" x14ac:dyDescent="0.25">
      <c r="B34" s="5">
        <f>B26-B25</f>
        <v>0.55835514018691557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AN38"/>
  <sheetViews>
    <sheetView topLeftCell="A4" workbookViewId="0">
      <selection activeCell="R43" sqref="R43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6" spans="1:40" x14ac:dyDescent="0.25">
      <c r="B6" s="35"/>
      <c r="C6" s="36"/>
      <c r="D6" s="36"/>
      <c r="E6" s="36"/>
      <c r="F6" s="36"/>
      <c r="G6" s="36"/>
      <c r="H6" s="36"/>
      <c r="I6" s="36"/>
    </row>
    <row r="7" spans="1:40" x14ac:dyDescent="0.25">
      <c r="B7" s="36"/>
      <c r="C7" s="36"/>
      <c r="D7" s="36"/>
      <c r="E7" s="36"/>
      <c r="F7" s="36"/>
      <c r="G7" s="36"/>
      <c r="H7" s="36"/>
      <c r="I7" s="36"/>
    </row>
    <row r="8" spans="1:40" x14ac:dyDescent="0.25">
      <c r="W8" t="s">
        <v>29</v>
      </c>
    </row>
    <row r="9" spans="1:40" ht="15.75" customHeight="1" thickBot="1" x14ac:dyDescent="0.3">
      <c r="L9" t="s">
        <v>79</v>
      </c>
      <c r="W9" t="s">
        <v>81</v>
      </c>
      <c r="AE9" t="s">
        <v>83</v>
      </c>
    </row>
    <row r="10" spans="1:40" ht="32.25" thickBot="1" x14ac:dyDescent="0.3">
      <c r="C10" s="18"/>
      <c r="D10" s="19" t="s">
        <v>57</v>
      </c>
      <c r="E10" s="2" t="s">
        <v>58</v>
      </c>
      <c r="F10" s="2" t="s">
        <v>59</v>
      </c>
      <c r="G10" s="2" t="s">
        <v>60</v>
      </c>
      <c r="H10" s="2" t="s">
        <v>61</v>
      </c>
      <c r="J10" s="9" t="s">
        <v>7</v>
      </c>
      <c r="K10" s="9"/>
      <c r="L10" s="9" t="str">
        <f>D10</f>
        <v>Strongly agree</v>
      </c>
      <c r="M10" s="9" t="str">
        <f t="shared" ref="M10:P10" si="0">E10</f>
        <v>Agree</v>
      </c>
      <c r="N10" s="9" t="str">
        <f t="shared" si="0"/>
        <v>Neutral</v>
      </c>
      <c r="O10" s="9" t="str">
        <f t="shared" si="0"/>
        <v>Disagree</v>
      </c>
      <c r="P10" s="9" t="str">
        <f t="shared" si="0"/>
        <v>Strongly disagree</v>
      </c>
      <c r="Q10" s="13"/>
      <c r="W10" s="4" t="str">
        <f>D10</f>
        <v>Strongly agree</v>
      </c>
      <c r="X10" s="4" t="str">
        <f>E10</f>
        <v>Agree</v>
      </c>
      <c r="Y10" s="4" t="str">
        <f>F10</f>
        <v>Neutral</v>
      </c>
      <c r="Z10" s="4" t="str">
        <f>G10</f>
        <v>Disagree</v>
      </c>
      <c r="AA10" s="4" t="str">
        <f>H10</f>
        <v>Strongly disagree</v>
      </c>
      <c r="AB10" s="4"/>
      <c r="AC10" s="2" t="s">
        <v>7</v>
      </c>
      <c r="AD10" s="4"/>
      <c r="AF10" s="4" t="str">
        <f>D10</f>
        <v>Strongly agree</v>
      </c>
      <c r="AG10" s="4" t="str">
        <f>E10</f>
        <v>Agree</v>
      </c>
      <c r="AH10" s="4" t="str">
        <f>F10</f>
        <v>Neutral</v>
      </c>
      <c r="AI10" s="4" t="str">
        <f>G10</f>
        <v>Disagree</v>
      </c>
      <c r="AJ10" s="4" t="str">
        <f>H10</f>
        <v>Strongly disagree</v>
      </c>
      <c r="AL10" t="s">
        <v>9</v>
      </c>
    </row>
    <row r="11" spans="1:40" ht="19.5" thickBot="1" x14ac:dyDescent="0.3">
      <c r="B11" s="31" t="s">
        <v>77</v>
      </c>
      <c r="C11" s="32"/>
      <c r="D11" s="12">
        <v>12</v>
      </c>
      <c r="E11" s="12">
        <v>14</v>
      </c>
      <c r="F11" s="12">
        <v>15</v>
      </c>
      <c r="G11" s="12">
        <v>6</v>
      </c>
      <c r="H11" s="12">
        <v>3</v>
      </c>
      <c r="J11">
        <f>SUM(D11:H11)</f>
        <v>50</v>
      </c>
      <c r="L11" s="5">
        <f>(D11/$J11)*100</f>
        <v>24</v>
      </c>
      <c r="M11" s="5">
        <f t="shared" ref="M11:P11" si="1">(E11/$J11)*100</f>
        <v>28.000000000000004</v>
      </c>
      <c r="N11" s="5">
        <f t="shared" si="1"/>
        <v>30</v>
      </c>
      <c r="O11" s="5">
        <f t="shared" si="1"/>
        <v>12</v>
      </c>
      <c r="P11" s="5">
        <f t="shared" si="1"/>
        <v>6</v>
      </c>
      <c r="Q11" s="13"/>
      <c r="V11" t="str">
        <f>B11</f>
        <v>Locals</v>
      </c>
      <c r="W11">
        <f>D11</f>
        <v>12</v>
      </c>
      <c r="X11">
        <f>E11+W11</f>
        <v>26</v>
      </c>
      <c r="Y11">
        <f>F11+X11</f>
        <v>41</v>
      </c>
      <c r="Z11">
        <f>G11+Y11</f>
        <v>47</v>
      </c>
      <c r="AA11">
        <f>H11+Z11</f>
        <v>50</v>
      </c>
      <c r="AC11" s="3">
        <f>SUM(D11:H11)</f>
        <v>50</v>
      </c>
      <c r="AE11" t="str">
        <f>B11</f>
        <v>Locals</v>
      </c>
      <c r="AF11">
        <f>D11*D14</f>
        <v>60</v>
      </c>
      <c r="AG11">
        <f>E11*E14</f>
        <v>56</v>
      </c>
      <c r="AH11">
        <f>F11*F14</f>
        <v>45</v>
      </c>
      <c r="AI11">
        <f>G11*G14</f>
        <v>12</v>
      </c>
      <c r="AJ11">
        <f>H11*H14</f>
        <v>3</v>
      </c>
      <c r="AL11">
        <f>SUM(AF11:AJ11)/AC11</f>
        <v>3.52</v>
      </c>
      <c r="AM11" t="s">
        <v>15</v>
      </c>
      <c r="AN11">
        <f>MAX(AL11:AL12)</f>
        <v>3.52</v>
      </c>
    </row>
    <row r="12" spans="1:40" ht="19.5" thickBot="1" x14ac:dyDescent="0.3">
      <c r="B12" s="31" t="s">
        <v>78</v>
      </c>
      <c r="C12" s="32"/>
      <c r="D12" s="12">
        <v>4</v>
      </c>
      <c r="E12" s="12">
        <v>7</v>
      </c>
      <c r="F12" s="12">
        <v>12</v>
      </c>
      <c r="G12" s="12">
        <v>13</v>
      </c>
      <c r="H12" s="12">
        <v>14</v>
      </c>
      <c r="J12">
        <f>SUM(D12:H12)</f>
        <v>50</v>
      </c>
      <c r="L12" s="5">
        <f>(D12/$J12)*100</f>
        <v>8</v>
      </c>
      <c r="M12" s="5">
        <f t="shared" ref="M12" si="2">(E12/$J12)*100</f>
        <v>14.000000000000002</v>
      </c>
      <c r="N12" s="5">
        <f t="shared" ref="N12" si="3">(F12/$J12)*100</f>
        <v>24</v>
      </c>
      <c r="O12" s="5">
        <f t="shared" ref="O12" si="4">(G12/$J12)*100</f>
        <v>26</v>
      </c>
      <c r="P12" s="5">
        <f t="shared" ref="P12" si="5">(H12/$J12)*100</f>
        <v>28.000000000000004</v>
      </c>
      <c r="Q12" s="13"/>
      <c r="V12" t="str">
        <f>B12</f>
        <v>Tourists</v>
      </c>
      <c r="W12">
        <f>D12</f>
        <v>4</v>
      </c>
      <c r="X12">
        <f>E12+W12</f>
        <v>11</v>
      </c>
      <c r="Y12">
        <f>F12+X12</f>
        <v>23</v>
      </c>
      <c r="Z12">
        <f>G12+Y12</f>
        <v>36</v>
      </c>
      <c r="AA12">
        <f>H12+Z12</f>
        <v>50</v>
      </c>
      <c r="AC12" s="3">
        <f>SUM(D12:H12)</f>
        <v>50</v>
      </c>
      <c r="AE12" t="str">
        <f>B12</f>
        <v>Tourists</v>
      </c>
      <c r="AF12">
        <f>D12*D14</f>
        <v>20</v>
      </c>
      <c r="AG12">
        <f>E12*E14</f>
        <v>28</v>
      </c>
      <c r="AH12">
        <f>F12*F14</f>
        <v>36</v>
      </c>
      <c r="AI12">
        <f>G12*G14</f>
        <v>26</v>
      </c>
      <c r="AJ12">
        <f>H12*H14</f>
        <v>14</v>
      </c>
      <c r="AL12">
        <f>SUM(AF12:AJ12)/AC12</f>
        <v>2.48</v>
      </c>
      <c r="AM12" t="s">
        <v>16</v>
      </c>
      <c r="AN12">
        <f>MIN(AL11:AL12)</f>
        <v>2.48</v>
      </c>
    </row>
    <row r="13" spans="1:40" x14ac:dyDescent="0.25">
      <c r="AC13" t="s">
        <v>18</v>
      </c>
      <c r="AL13" t="s">
        <v>10</v>
      </c>
      <c r="AM13" t="s">
        <v>11</v>
      </c>
    </row>
    <row r="14" spans="1:40" ht="18.75" x14ac:dyDescent="0.3">
      <c r="B14" s="8" t="s">
        <v>8</v>
      </c>
      <c r="D14" s="6">
        <v>5</v>
      </c>
      <c r="E14" s="6">
        <v>4</v>
      </c>
      <c r="F14" s="6">
        <v>3</v>
      </c>
      <c r="G14" s="6">
        <v>2</v>
      </c>
      <c r="H14" s="6">
        <v>1</v>
      </c>
      <c r="V14" t="s">
        <v>17</v>
      </c>
      <c r="W14">
        <f>ABS(W11-W12)</f>
        <v>8</v>
      </c>
      <c r="X14">
        <f t="shared" ref="X14" si="6">ABS(X11-X12)</f>
        <v>15</v>
      </c>
      <c r="Y14">
        <f t="shared" ref="Y14:AA14" si="7">ABS(Y11-Y12)</f>
        <v>18</v>
      </c>
      <c r="Z14">
        <f t="shared" si="7"/>
        <v>11</v>
      </c>
      <c r="AA14">
        <f t="shared" si="7"/>
        <v>0</v>
      </c>
      <c r="AC14">
        <f>MAX(W14:AA14)</f>
        <v>18</v>
      </c>
      <c r="AE14" t="str">
        <f>AE11</f>
        <v>Locals</v>
      </c>
      <c r="AF14">
        <f>((D14-$AL11)^2)*D11</f>
        <v>26.284799999999997</v>
      </c>
      <c r="AG14">
        <f>((E14-$AL11)^2)*E11</f>
        <v>3.2256</v>
      </c>
      <c r="AH14">
        <f>((F14-$AL11)^2)*F11</f>
        <v>4.056</v>
      </c>
      <c r="AI14">
        <f>((G14-$AL11)^2)*G11</f>
        <v>13.862400000000001</v>
      </c>
      <c r="AJ14">
        <f>((H14-$AL11)^2)*H11</f>
        <v>19.051200000000001</v>
      </c>
      <c r="AL14">
        <f>(SUM(AF14:AJ14))/(AC11-1)</f>
        <v>1.3567346938775509</v>
      </c>
      <c r="AM14" s="5">
        <f>AL14^0.5</f>
        <v>1.1647895491794005</v>
      </c>
    </row>
    <row r="15" spans="1:40" ht="15" customHeight="1" x14ac:dyDescent="0.25">
      <c r="M15" t="s">
        <v>63</v>
      </c>
      <c r="O15" t="s">
        <v>65</v>
      </c>
      <c r="P15" s="4"/>
      <c r="Q15" s="4"/>
      <c r="R15" s="4"/>
      <c r="S15" s="4"/>
      <c r="T15" s="4"/>
      <c r="AE15" t="str">
        <f>AE12</f>
        <v>Tourists</v>
      </c>
      <c r="AF15">
        <f>((D14-$AL12)^2)*D12</f>
        <v>25.401600000000002</v>
      </c>
      <c r="AG15">
        <f>((E14-$AL12)^2)*E12</f>
        <v>16.172799999999999</v>
      </c>
      <c r="AH15">
        <f>((F14-$AL12)^2)*F12</f>
        <v>3.2448000000000006</v>
      </c>
      <c r="AI15">
        <f>((G14-$AL12)^2)*G12</f>
        <v>2.9952000000000001</v>
      </c>
      <c r="AJ15">
        <f>((H14-$AL12)^2)*H12</f>
        <v>30.665599999999998</v>
      </c>
      <c r="AL15">
        <f>(SUM(AG15:AJ15))/(AC12-1)</f>
        <v>1.0832326530612246</v>
      </c>
      <c r="AM15" s="5">
        <f>AL15^0.5</f>
        <v>1.0407846333710085</v>
      </c>
    </row>
    <row r="16" spans="1:40" ht="17.25" customHeight="1" x14ac:dyDescent="0.25">
      <c r="A16" s="17"/>
      <c r="B16" s="17"/>
      <c r="C16" s="14" t="s">
        <v>19</v>
      </c>
      <c r="D16" s="14">
        <f>IF(AC11=AC12,AC14,AC20)</f>
        <v>18</v>
      </c>
      <c r="E16" s="16"/>
      <c r="F16" s="16" t="s">
        <v>31</v>
      </c>
      <c r="G16" s="22">
        <f>IF(AD30&lt;1,AD30,"na")</f>
        <v>3.0676213586489369E-3</v>
      </c>
      <c r="H16" s="30" t="s">
        <v>39</v>
      </c>
      <c r="I16" s="30"/>
      <c r="J16" s="30"/>
      <c r="K16" s="30"/>
      <c r="M16" t="s">
        <v>62</v>
      </c>
      <c r="N16">
        <f>IF(MIN(AC11:AC12)&gt;39,AE23,"na")</f>
        <v>0.27200000000000002</v>
      </c>
      <c r="O16" s="23" t="str">
        <f>IF(MIN(AC11:AC12)&gt;39,AF23,"na")</f>
        <v>Yes</v>
      </c>
      <c r="P16" s="4"/>
      <c r="Q16" s="4"/>
      <c r="R16" s="4"/>
      <c r="S16" s="4"/>
      <c r="T16" s="4"/>
      <c r="W16" t="s">
        <v>82</v>
      </c>
      <c r="X16" s="4"/>
      <c r="Y16" s="4"/>
      <c r="Z16" s="4"/>
      <c r="AA16" s="4"/>
      <c r="AB16" s="4"/>
    </row>
    <row r="17" spans="1:40" ht="15" customHeight="1" x14ac:dyDescent="0.25">
      <c r="A17" s="17"/>
      <c r="B17" s="17"/>
      <c r="F17" t="s">
        <v>35</v>
      </c>
      <c r="G17">
        <f>AD28</f>
        <v>1.5338106793244685E-3</v>
      </c>
      <c r="H17" s="30"/>
      <c r="I17" s="30"/>
      <c r="J17" s="30"/>
      <c r="K17" s="30"/>
      <c r="M17" t="s">
        <v>64</v>
      </c>
      <c r="N17">
        <f>IF(MIN(AC11:AC12)&gt;39,AE24,"na")</f>
        <v>0.32600000000000001</v>
      </c>
      <c r="O17" s="23" t="str">
        <f>IF(MIN(AC11:AC12)&gt;39,AF24,"na")</f>
        <v>Yes</v>
      </c>
      <c r="P17" s="4"/>
      <c r="Q17" s="4"/>
      <c r="R17" s="4"/>
      <c r="S17" s="4"/>
      <c r="T17" s="4"/>
      <c r="V17" t="str">
        <f>B11</f>
        <v>Locals</v>
      </c>
      <c r="W17">
        <f>W11/$AC11</f>
        <v>0.24</v>
      </c>
      <c r="X17">
        <f>X11/$AC11</f>
        <v>0.52</v>
      </c>
      <c r="Y17">
        <f>Y11/$AC11</f>
        <v>0.82</v>
      </c>
      <c r="Z17">
        <f>Z11/$AC11</f>
        <v>0.94</v>
      </c>
      <c r="AA17">
        <f>AA11/$AC11</f>
        <v>1</v>
      </c>
      <c r="AL17" t="s">
        <v>12</v>
      </c>
      <c r="AM17">
        <f>AN11-AN12</f>
        <v>1.04</v>
      </c>
    </row>
    <row r="18" spans="1:40" ht="18.75" x14ac:dyDescent="0.3">
      <c r="A18" s="8" t="s">
        <v>20</v>
      </c>
      <c r="B18" s="8"/>
      <c r="C18" s="8" t="s">
        <v>21</v>
      </c>
      <c r="D18" s="7">
        <f>IF(AC11=AC12,D16/((AC11+AC12)/2),"Use Dmax")</f>
        <v>0.36</v>
      </c>
      <c r="H18" s="30"/>
      <c r="I18" s="30"/>
      <c r="J18" s="30"/>
      <c r="K18" s="30"/>
      <c r="M18" t="s">
        <v>80</v>
      </c>
      <c r="N18">
        <f>IF(MIN(AC11:AC12)&gt;39,AE25,"na")</f>
        <v>0.39</v>
      </c>
      <c r="O18" s="23" t="str">
        <f>IF(MIN(AC11:AC12)&gt;39,AF25,"na")</f>
        <v>No</v>
      </c>
      <c r="P18" s="4"/>
      <c r="Q18" s="4"/>
      <c r="R18" s="4"/>
      <c r="S18" s="4"/>
      <c r="T18" s="4"/>
      <c r="V18" t="str">
        <f>B12</f>
        <v>Tourists</v>
      </c>
      <c r="W18">
        <f>W12/$AC12</f>
        <v>0.08</v>
      </c>
      <c r="X18">
        <f>X12/$AC12</f>
        <v>0.22</v>
      </c>
      <c r="Y18">
        <f>Y12/$AC12</f>
        <v>0.46</v>
      </c>
      <c r="Z18">
        <f>Z12/$AC12</f>
        <v>0.72</v>
      </c>
      <c r="AA18">
        <f>AA12/$AC12</f>
        <v>1</v>
      </c>
      <c r="AL18" t="s">
        <v>13</v>
      </c>
      <c r="AM18">
        <f>((AL14/AC11)+(AL15/AC12))^0.5</f>
        <v>0.22090574220417067</v>
      </c>
    </row>
    <row r="19" spans="1:40" ht="18.75" x14ac:dyDescent="0.3">
      <c r="A19" s="8"/>
      <c r="B19" s="8"/>
      <c r="C19" s="8"/>
      <c r="D19" s="8"/>
      <c r="AC19" t="s">
        <v>18</v>
      </c>
      <c r="AL19" t="s">
        <v>14</v>
      </c>
      <c r="AM19" s="15">
        <f>AM17/AM18</f>
        <v>4.7078902957569433</v>
      </c>
    </row>
    <row r="20" spans="1:40" x14ac:dyDescent="0.25">
      <c r="A20" s="30" t="str">
        <f>IF(MIN(AC11:AC12)&lt;50,"Your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20" s="30"/>
      <c r="C20" s="30"/>
      <c r="D20" s="30"/>
      <c r="V20" t="s">
        <v>17</v>
      </c>
      <c r="W20">
        <f>ABS(W17-W18)</f>
        <v>0.15999999999999998</v>
      </c>
      <c r="X20">
        <f t="shared" ref="X20:Z20" si="8">ABS(X17-X18)</f>
        <v>0.30000000000000004</v>
      </c>
      <c r="Y20">
        <f t="shared" si="8"/>
        <v>0.35999999999999993</v>
      </c>
      <c r="Z20">
        <f t="shared" si="8"/>
        <v>0.21999999999999997</v>
      </c>
      <c r="AA20">
        <f t="shared" ref="AA20" si="9">ABS(AA17-AA18)</f>
        <v>0</v>
      </c>
      <c r="AC20">
        <f>MAX(W20:AA20)</f>
        <v>0.35999999999999993</v>
      </c>
      <c r="AL20" t="s">
        <v>0</v>
      </c>
      <c r="AM20">
        <f>AC11+AC12-2</f>
        <v>98</v>
      </c>
    </row>
    <row r="21" spans="1:40" x14ac:dyDescent="0.25">
      <c r="A21" s="30"/>
      <c r="B21" s="30"/>
      <c r="C21" s="30"/>
      <c r="D21" s="30"/>
    </row>
    <row r="22" spans="1:40" x14ac:dyDescent="0.25">
      <c r="A22" s="30"/>
      <c r="B22" s="30"/>
      <c r="C22" s="30"/>
      <c r="D22" s="30"/>
      <c r="AC22" t="s">
        <v>25</v>
      </c>
      <c r="AE22">
        <f>((AC11+AC12)/(AC11*AC12))^0.5</f>
        <v>0.2</v>
      </c>
      <c r="AL22" t="s">
        <v>31</v>
      </c>
      <c r="AM22">
        <f>_xlfn.T.DIST.2T(AM19,AM20)</f>
        <v>8.2395749789042749E-6</v>
      </c>
    </row>
    <row r="23" spans="1:40" x14ac:dyDescent="0.25">
      <c r="AC23">
        <v>0.05</v>
      </c>
      <c r="AD23">
        <v>1.36</v>
      </c>
      <c r="AE23">
        <f>AD23*AE22</f>
        <v>0.27200000000000002</v>
      </c>
      <c r="AF23" t="str">
        <f>IF(AC20&gt;AE23,"Yes","No")</f>
        <v>Yes</v>
      </c>
      <c r="AL23" t="s">
        <v>35</v>
      </c>
      <c r="AM23">
        <f>AM22/2</f>
        <v>4.1197874894521375E-6</v>
      </c>
    </row>
    <row r="24" spans="1:40" ht="18.75" x14ac:dyDescent="0.3">
      <c r="A24" s="10" t="s">
        <v>22</v>
      </c>
      <c r="B24" s="10"/>
      <c r="C24" s="8" t="s">
        <v>26</v>
      </c>
      <c r="D24" s="7">
        <f>IF(MIN(AC11:AC12)&gt;24,AM19,"na")</f>
        <v>4.7078902957569433</v>
      </c>
      <c r="AC24">
        <v>0.01</v>
      </c>
      <c r="AD24">
        <v>1.63</v>
      </c>
      <c r="AE24">
        <f>AD24*AE22</f>
        <v>0.32600000000000001</v>
      </c>
      <c r="AF24" t="str">
        <f>IF(AC20&gt;AE24,"Yes","No")</f>
        <v>Yes</v>
      </c>
      <c r="AL24" t="s">
        <v>36</v>
      </c>
      <c r="AM24">
        <f>_xlfn.NORM.S.INV(AM23)</f>
        <v>-4.45886251167002</v>
      </c>
    </row>
    <row r="25" spans="1:40" ht="18.75" x14ac:dyDescent="0.3">
      <c r="A25" s="10"/>
      <c r="B25" s="10" t="s">
        <v>23</v>
      </c>
      <c r="C25" s="8" t="s">
        <v>25</v>
      </c>
      <c r="D25" s="7">
        <f>IF(MIN(AC11:AC12)&gt;24,AM22,"na")</f>
        <v>8.2395749789042749E-6</v>
      </c>
      <c r="AC25">
        <v>1E-3</v>
      </c>
      <c r="AD25">
        <v>1.95</v>
      </c>
      <c r="AE25">
        <f>AD25*AE22</f>
        <v>0.39</v>
      </c>
      <c r="AF25" t="str">
        <f>IF(AC20&gt;AE25,"Yes","No")</f>
        <v>No</v>
      </c>
      <c r="AL25" t="s">
        <v>37</v>
      </c>
      <c r="AM25">
        <f>AM24/((AC11+AC12)^0.5)</f>
        <v>-0.44588625116700198</v>
      </c>
    </row>
    <row r="26" spans="1:40" ht="18.75" x14ac:dyDescent="0.3">
      <c r="A26" s="10"/>
      <c r="B26" s="10" t="s">
        <v>24</v>
      </c>
      <c r="C26" s="8" t="s">
        <v>25</v>
      </c>
      <c r="D26" s="7">
        <f>IF(MIN(AC11:AC12)&gt;24,D25/2,"na")</f>
        <v>4.1197874894521375E-6</v>
      </c>
      <c r="AL26" t="s">
        <v>40</v>
      </c>
      <c r="AM26">
        <f>(MAX(AM14:AM15))/(MIN(AM14:AM15))</f>
        <v>1.1191456059518781</v>
      </c>
    </row>
    <row r="27" spans="1:40" x14ac:dyDescent="0.25">
      <c r="AC27" t="s">
        <v>32</v>
      </c>
      <c r="AD27">
        <f>(4*(AC20^2))</f>
        <v>0.51839999999999975</v>
      </c>
      <c r="AE27">
        <f>(AC11*AC12)/(AC11+AC12)</f>
        <v>25</v>
      </c>
      <c r="AF27">
        <f>AD27*AE27</f>
        <v>12.959999999999994</v>
      </c>
      <c r="AM27" t="s">
        <v>44</v>
      </c>
      <c r="AN27" t="s">
        <v>45</v>
      </c>
    </row>
    <row r="28" spans="1:40" ht="15.75" x14ac:dyDescent="0.25">
      <c r="B28" s="7" t="s">
        <v>27</v>
      </c>
      <c r="C28" s="7" t="s">
        <v>28</v>
      </c>
      <c r="AC28" t="s">
        <v>33</v>
      </c>
      <c r="AD28">
        <f>_xlfn.CHISQ.DIST.RT(AF27,2)</f>
        <v>1.5338106793244685E-3</v>
      </c>
      <c r="AL28" t="s">
        <v>42</v>
      </c>
      <c r="AM28">
        <f>_xlfn.F.INV.RT(0.025,MAX(AC11:AC12)-1,MIN(AC11:AC12)-1)</f>
        <v>1.7621885352431106</v>
      </c>
      <c r="AN28">
        <f>_xlfn.F.INV.RT(0.05,MAX(AC11:AC12)-1,MIN(AC11:AC12)-1)</f>
        <v>1.6072894627459262</v>
      </c>
    </row>
    <row r="29" spans="1:40" ht="15.75" x14ac:dyDescent="0.25">
      <c r="A29" s="7" t="str">
        <f>B11</f>
        <v>Locals</v>
      </c>
      <c r="B29">
        <f>AL11</f>
        <v>3.52</v>
      </c>
      <c r="C29" s="5">
        <f>AM14</f>
        <v>1.1647895491794005</v>
      </c>
      <c r="AL29" t="s">
        <v>43</v>
      </c>
      <c r="AM29">
        <f>_xlfn.F.INV.RT(0.005,MAX(AC11:AC12)-1,MIN(AC11:AC12)-1)</f>
        <v>2.1130471462468003</v>
      </c>
      <c r="AN29">
        <f>_xlfn.F.INV.RT(0.01,MAX(AC11:AC12)-1,MIN(AC11:AC12)-1)</f>
        <v>1.962592745917437</v>
      </c>
    </row>
    <row r="30" spans="1:40" ht="15.75" x14ac:dyDescent="0.25">
      <c r="A30" s="7" t="str">
        <f>B12</f>
        <v>Tourists</v>
      </c>
      <c r="B30">
        <f>AL12</f>
        <v>2.48</v>
      </c>
      <c r="C30" s="5">
        <f>AM15</f>
        <v>1.0407846333710085</v>
      </c>
      <c r="AC30" t="s">
        <v>34</v>
      </c>
      <c r="AD30">
        <f>AD28*2</f>
        <v>3.0676213586489369E-3</v>
      </c>
    </row>
    <row r="32" spans="1:40" x14ac:dyDescent="0.25">
      <c r="A32" t="s">
        <v>38</v>
      </c>
      <c r="C32">
        <f>ABS(AM25)</f>
        <v>0.44588625116700198</v>
      </c>
    </row>
    <row r="34" spans="1:5" x14ac:dyDescent="0.25">
      <c r="D34" t="s">
        <v>31</v>
      </c>
      <c r="E34" t="s">
        <v>35</v>
      </c>
    </row>
    <row r="35" spans="1:5" x14ac:dyDescent="0.25">
      <c r="A35" t="s">
        <v>41</v>
      </c>
      <c r="C35">
        <f>AM26</f>
        <v>1.1191456059518781</v>
      </c>
      <c r="D35" t="str">
        <f>IF(C35&lt;AM28,"p &gt; 0.05","p&lt;0.05")</f>
        <v>p &gt; 0.05</v>
      </c>
      <c r="E35" t="str">
        <f>IF(C35&lt;AN28,"p &gt; 0.05","p&lt;0.05")</f>
        <v>p &gt; 0.05</v>
      </c>
    </row>
    <row r="36" spans="1:5" x14ac:dyDescent="0.25">
      <c r="D36" t="str">
        <f>IF(C35&lt;AM29,"p &gt; 0.01","p&lt;0.01")</f>
        <v>p &gt; 0.01</v>
      </c>
      <c r="E36" t="str">
        <f>IF(C35&lt;AN29,"p &gt; 0.01","p&lt;0.01")</f>
        <v>p &gt; 0.01</v>
      </c>
    </row>
    <row r="38" spans="1:5" x14ac:dyDescent="0.25">
      <c r="B38">
        <f>B29-B30</f>
        <v>1.04</v>
      </c>
    </row>
  </sheetData>
  <mergeCells count="5">
    <mergeCell ref="B6:I7"/>
    <mergeCell ref="B11:C11"/>
    <mergeCell ref="B12:C12"/>
    <mergeCell ref="H16:K18"/>
    <mergeCell ref="A20:D22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Q32"/>
  <sheetViews>
    <sheetView topLeftCell="A4" workbookViewId="0">
      <selection activeCell="S32" sqref="S32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43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43" x14ac:dyDescent="0.25">
      <c r="B3" s="30"/>
      <c r="C3" s="30"/>
      <c r="D3" s="30"/>
      <c r="E3" s="30"/>
      <c r="F3" s="30"/>
      <c r="G3" s="30"/>
      <c r="H3" s="30"/>
      <c r="I3" s="30"/>
    </row>
    <row r="4" spans="1:43" x14ac:dyDescent="0.25">
      <c r="W4" t="s">
        <v>29</v>
      </c>
    </row>
    <row r="5" spans="1:43" ht="15.75" customHeight="1" thickBot="1" x14ac:dyDescent="0.3"/>
    <row r="6" spans="1:43" ht="32.25" thickBot="1" x14ac:dyDescent="0.3">
      <c r="C6" s="18"/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I6" s="2" t="s">
        <v>6</v>
      </c>
      <c r="K6" s="9" t="s">
        <v>7</v>
      </c>
      <c r="L6" s="9"/>
      <c r="M6" s="9"/>
      <c r="N6" s="9" t="str">
        <f>D6</f>
        <v>Very Angular</v>
      </c>
      <c r="O6" s="9" t="str">
        <f t="shared" ref="O6:P6" si="0">E6</f>
        <v>Angular</v>
      </c>
      <c r="P6" s="9" t="str">
        <f t="shared" si="0"/>
        <v>Sub-angular</v>
      </c>
      <c r="Q6" s="9" t="str">
        <f>G6</f>
        <v>Sub-rounded</v>
      </c>
      <c r="R6" s="9" t="str">
        <f t="shared" ref="R6" si="1">H6</f>
        <v>Rounded</v>
      </c>
      <c r="S6" s="9" t="str">
        <f t="shared" ref="S6" si="2">I6</f>
        <v>Well-rounded</v>
      </c>
      <c r="X6" s="4" t="str">
        <f>D6</f>
        <v>Very Angular</v>
      </c>
      <c r="Y6" s="4" t="str">
        <f>E6</f>
        <v>Angular</v>
      </c>
      <c r="Z6" s="4" t="str">
        <f>F6</f>
        <v>Sub-angular</v>
      </c>
      <c r="AA6" s="4" t="str">
        <f>G6</f>
        <v>Sub-rounded</v>
      </c>
      <c r="AB6" s="4" t="str">
        <f>H6</f>
        <v>Rounded</v>
      </c>
      <c r="AC6" s="4" t="str">
        <f>I6</f>
        <v>Well-rounded</v>
      </c>
      <c r="AD6" s="4"/>
      <c r="AE6" s="2" t="s">
        <v>7</v>
      </c>
      <c r="AF6" s="4"/>
      <c r="AH6" s="4" t="str">
        <f>D6</f>
        <v>Very Angular</v>
      </c>
      <c r="AI6" s="4" t="str">
        <f>E6</f>
        <v>Angular</v>
      </c>
      <c r="AJ6" s="4" t="str">
        <f>F6</f>
        <v>Sub-angular</v>
      </c>
      <c r="AK6" s="4" t="str">
        <f>G6</f>
        <v>Sub-rounded</v>
      </c>
      <c r="AL6" s="4" t="str">
        <f>H6</f>
        <v>Rounded</v>
      </c>
      <c r="AM6" s="4" t="str">
        <f>I6</f>
        <v>Well-rounded</v>
      </c>
      <c r="AO6" t="s">
        <v>9</v>
      </c>
    </row>
    <row r="7" spans="1:43" ht="19.5" thickBot="1" x14ac:dyDescent="0.3">
      <c r="B7" s="33" t="s">
        <v>73</v>
      </c>
      <c r="C7" s="34"/>
      <c r="D7" s="12">
        <v>0</v>
      </c>
      <c r="E7" s="12">
        <v>14</v>
      </c>
      <c r="F7" s="12">
        <v>38</v>
      </c>
      <c r="G7" s="12">
        <v>38</v>
      </c>
      <c r="H7" s="12">
        <v>10</v>
      </c>
      <c r="I7" s="12">
        <v>0</v>
      </c>
      <c r="K7">
        <f>SUM(D7:I7)</f>
        <v>100</v>
      </c>
      <c r="M7" t="str">
        <f>B7</f>
        <v>Deposit A</v>
      </c>
      <c r="N7">
        <f>(D7/$K7)*100</f>
        <v>0</v>
      </c>
      <c r="O7">
        <f t="shared" ref="O7:S7" si="3">(E7/$K7)*100</f>
        <v>14.000000000000002</v>
      </c>
      <c r="P7">
        <f t="shared" si="3"/>
        <v>38</v>
      </c>
      <c r="Q7">
        <f t="shared" si="3"/>
        <v>38</v>
      </c>
      <c r="R7">
        <f t="shared" si="3"/>
        <v>10</v>
      </c>
      <c r="S7">
        <f t="shared" si="3"/>
        <v>0</v>
      </c>
      <c r="W7" t="str">
        <f>B7</f>
        <v>Deposit A</v>
      </c>
      <c r="X7">
        <f>D7</f>
        <v>0</v>
      </c>
      <c r="Y7">
        <f>E7+X7</f>
        <v>14</v>
      </c>
      <c r="Z7">
        <f>F7+Y7</f>
        <v>52</v>
      </c>
      <c r="AA7">
        <f>G7+Z7</f>
        <v>90</v>
      </c>
      <c r="AB7">
        <f>H7+AA7</f>
        <v>100</v>
      </c>
      <c r="AC7">
        <f>I7+AB7</f>
        <v>100</v>
      </c>
      <c r="AE7" s="3">
        <f>SUM(D7:I7)</f>
        <v>100</v>
      </c>
      <c r="AG7" t="str">
        <f>B7</f>
        <v>Deposit A</v>
      </c>
      <c r="AH7">
        <f>D7*D10</f>
        <v>0</v>
      </c>
      <c r="AI7">
        <f>E7*E10</f>
        <v>28</v>
      </c>
      <c r="AJ7">
        <f>F7*F10</f>
        <v>114</v>
      </c>
      <c r="AK7">
        <f>G7*G10</f>
        <v>152</v>
      </c>
      <c r="AL7">
        <f>H7*H10</f>
        <v>50</v>
      </c>
      <c r="AM7">
        <f>I7*I10</f>
        <v>0</v>
      </c>
      <c r="AO7">
        <f>SUM(AH7:AM7)/AE7</f>
        <v>3.44</v>
      </c>
      <c r="AP7" t="s">
        <v>15</v>
      </c>
      <c r="AQ7">
        <f>MAX(AO7:AO8)</f>
        <v>3.5</v>
      </c>
    </row>
    <row r="8" spans="1:43" ht="19.5" thickBot="1" x14ac:dyDescent="0.3">
      <c r="B8" s="33" t="s">
        <v>74</v>
      </c>
      <c r="C8" s="34"/>
      <c r="D8" s="12">
        <v>16</v>
      </c>
      <c r="E8" s="12">
        <v>16</v>
      </c>
      <c r="F8" s="12">
        <v>18</v>
      </c>
      <c r="G8" s="12">
        <v>18</v>
      </c>
      <c r="H8" s="12">
        <v>16</v>
      </c>
      <c r="I8" s="12">
        <v>16</v>
      </c>
      <c r="K8">
        <f>SUM(D8:I8)</f>
        <v>100</v>
      </c>
      <c r="M8" t="str">
        <f>B8</f>
        <v>Deposit B</v>
      </c>
      <c r="N8">
        <f>(D8/$K8)*100</f>
        <v>16</v>
      </c>
      <c r="O8">
        <f t="shared" ref="O8" si="4">(E8/$K8)*100</f>
        <v>16</v>
      </c>
      <c r="P8">
        <f t="shared" ref="P8" si="5">(F8/$K8)*100</f>
        <v>18</v>
      </c>
      <c r="Q8">
        <f t="shared" ref="Q8" si="6">(G8/$K8)*100</f>
        <v>18</v>
      </c>
      <c r="R8">
        <f t="shared" ref="R8" si="7">(H8/$K8)*100</f>
        <v>16</v>
      </c>
      <c r="S8">
        <f t="shared" ref="S8" si="8">(I8/$K8)*100</f>
        <v>16</v>
      </c>
      <c r="W8" t="str">
        <f>B8</f>
        <v>Deposit B</v>
      </c>
      <c r="X8">
        <f>D8</f>
        <v>16</v>
      </c>
      <c r="Y8">
        <f>E8+X8</f>
        <v>32</v>
      </c>
      <c r="Z8">
        <f>F8+Y8</f>
        <v>50</v>
      </c>
      <c r="AA8">
        <f>G8+Z8</f>
        <v>68</v>
      </c>
      <c r="AB8">
        <f>H8+AA8</f>
        <v>84</v>
      </c>
      <c r="AC8">
        <f>I8+AB8</f>
        <v>100</v>
      </c>
      <c r="AE8" s="3">
        <f>SUM(D8:I8)</f>
        <v>100</v>
      </c>
      <c r="AG8" t="str">
        <f>B8</f>
        <v>Deposit B</v>
      </c>
      <c r="AH8">
        <f>D8*D10</f>
        <v>16</v>
      </c>
      <c r="AI8">
        <f>E8*E10</f>
        <v>32</v>
      </c>
      <c r="AJ8">
        <f>F8*F10</f>
        <v>54</v>
      </c>
      <c r="AK8">
        <f>G8*G10</f>
        <v>72</v>
      </c>
      <c r="AL8">
        <f>H8*H10</f>
        <v>80</v>
      </c>
      <c r="AM8">
        <f>I8*I10</f>
        <v>96</v>
      </c>
      <c r="AO8">
        <f>SUM(AH8:AM8)/AE8</f>
        <v>3.5</v>
      </c>
      <c r="AP8" t="s">
        <v>16</v>
      </c>
      <c r="AQ8">
        <f>MIN(AO7:AO8)</f>
        <v>3.44</v>
      </c>
    </row>
    <row r="9" spans="1:43" x14ac:dyDescent="0.25">
      <c r="AE9" t="s">
        <v>18</v>
      </c>
      <c r="AO9" t="s">
        <v>10</v>
      </c>
      <c r="AP9" t="s">
        <v>11</v>
      </c>
    </row>
    <row r="10" spans="1:43" ht="18.75" x14ac:dyDescent="0.3">
      <c r="B10" s="8" t="s">
        <v>8</v>
      </c>
      <c r="D10" s="6">
        <v>1</v>
      </c>
      <c r="E10" s="6">
        <v>2</v>
      </c>
      <c r="F10" s="6">
        <v>3</v>
      </c>
      <c r="G10" s="6">
        <v>4</v>
      </c>
      <c r="H10" s="6">
        <v>5</v>
      </c>
      <c r="I10" s="6">
        <v>6</v>
      </c>
      <c r="W10" t="s">
        <v>17</v>
      </c>
      <c r="X10">
        <f>ABS(X7-X8)</f>
        <v>16</v>
      </c>
      <c r="Y10">
        <f t="shared" ref="Y10:AC10" si="9">ABS(Y7-Y8)</f>
        <v>18</v>
      </c>
      <c r="Z10">
        <f t="shared" si="9"/>
        <v>2</v>
      </c>
      <c r="AA10">
        <f t="shared" si="9"/>
        <v>22</v>
      </c>
      <c r="AB10">
        <f t="shared" si="9"/>
        <v>16</v>
      </c>
      <c r="AC10">
        <f t="shared" si="9"/>
        <v>0</v>
      </c>
      <c r="AE10">
        <f>MAX(X10:AC10)</f>
        <v>22</v>
      </c>
      <c r="AG10" t="str">
        <f>AG7</f>
        <v>Deposit A</v>
      </c>
      <c r="AH10">
        <f>((D10-$AO7)^2)*D7</f>
        <v>0</v>
      </c>
      <c r="AI10">
        <f>((E10-$AO7)^2)*E7</f>
        <v>29.0304</v>
      </c>
      <c r="AJ10">
        <f>((F10-$AO7)^2)*F7</f>
        <v>7.3567999999999989</v>
      </c>
      <c r="AK10">
        <f>((G10-$AO7)^2)*G7</f>
        <v>11.916800000000002</v>
      </c>
      <c r="AL10">
        <f>((H10-$AO7)^2)*H7</f>
        <v>24.336000000000002</v>
      </c>
      <c r="AM10">
        <f>((I10-$AO7)^2)*I7</f>
        <v>0</v>
      </c>
      <c r="AO10">
        <f>(SUM(AH10:AM10))/(AE7-1)</f>
        <v>0.73373737373737369</v>
      </c>
      <c r="AP10" s="5">
        <f>AO10^0.5</f>
        <v>0.85658471486326071</v>
      </c>
    </row>
    <row r="11" spans="1:43" x14ac:dyDescent="0.25">
      <c r="M11" t="s">
        <v>63</v>
      </c>
      <c r="O11" t="s">
        <v>65</v>
      </c>
      <c r="AG11" t="str">
        <f>AG8</f>
        <v>Deposit B</v>
      </c>
      <c r="AH11">
        <f>((D10-$AO8)^2)*D8</f>
        <v>100</v>
      </c>
      <c r="AI11">
        <f>((E10-$AO8)^2)*E8</f>
        <v>36</v>
      </c>
      <c r="AJ11">
        <f>((F10-$AO8)^2)*F8</f>
        <v>4.5</v>
      </c>
      <c r="AK11">
        <f>((G10-$AO8)^2)*G8</f>
        <v>4.5</v>
      </c>
      <c r="AL11">
        <f>((H10-$AO8)^2)*H8</f>
        <v>36</v>
      </c>
      <c r="AM11">
        <f>((I10-$AO8)^2)*I8</f>
        <v>100</v>
      </c>
      <c r="AO11">
        <f>(SUM(AH11:AM11))/(AE8-1)</f>
        <v>2.8383838383838382</v>
      </c>
      <c r="AP11" s="5">
        <f>AO11^0.5</f>
        <v>1.6847503786566835</v>
      </c>
    </row>
    <row r="12" spans="1:43" ht="17.25" customHeight="1" x14ac:dyDescent="0.25">
      <c r="A12" s="17"/>
      <c r="B12" s="17"/>
      <c r="C12" s="14" t="s">
        <v>19</v>
      </c>
      <c r="D12" s="14">
        <f>IF(AE7=AE8,AE10,AE16)</f>
        <v>22</v>
      </c>
      <c r="E12" s="16"/>
      <c r="F12" s="16" t="s">
        <v>31</v>
      </c>
      <c r="G12" s="22">
        <f>IF(AD26&lt;1,AD26,"na")</f>
        <v>1.5814108103186897E-2</v>
      </c>
      <c r="H12" s="30" t="s">
        <v>39</v>
      </c>
      <c r="I12" s="30"/>
      <c r="J12" s="30"/>
      <c r="K12" s="30"/>
      <c r="M12" t="s">
        <v>62</v>
      </c>
      <c r="N12" s="1">
        <f>IF(MIN(AE7:AE8)&gt;39,AE19,"na")</f>
        <v>0.19233304448274094</v>
      </c>
      <c r="O12" s="23" t="str">
        <f>IF(MIN(AE7:AE8)&gt;39,AF19,"na")</f>
        <v>Yes</v>
      </c>
      <c r="X12" s="4"/>
      <c r="Y12" s="4"/>
      <c r="Z12" s="4"/>
      <c r="AA12" s="4"/>
      <c r="AB12" s="4"/>
      <c r="AC12" s="4"/>
    </row>
    <row r="13" spans="1:43" ht="15" customHeight="1" x14ac:dyDescent="0.25">
      <c r="A13" s="17"/>
      <c r="B13" s="17"/>
      <c r="F13" t="s">
        <v>35</v>
      </c>
      <c r="G13">
        <f>AD24</f>
        <v>7.9070540515934484E-3</v>
      </c>
      <c r="H13" s="30"/>
      <c r="I13" s="30"/>
      <c r="J13" s="30"/>
      <c r="K13" s="30"/>
      <c r="M13" t="s">
        <v>64</v>
      </c>
      <c r="N13" s="1">
        <f>IF(MIN(AE7:AE8)&gt;39,AE20,"na")</f>
        <v>0.23051681066681448</v>
      </c>
      <c r="O13" s="23" t="str">
        <f>IF(MIN(AE7:AE8)&gt;39,AF20,"na")</f>
        <v>No</v>
      </c>
      <c r="W13" t="str">
        <f>B7</f>
        <v>Deposit A</v>
      </c>
      <c r="X13">
        <f>X7/$AE7</f>
        <v>0</v>
      </c>
      <c r="Y13">
        <f>Y7/$AE7</f>
        <v>0.14000000000000001</v>
      </c>
      <c r="Z13">
        <f>Z7/$AE7</f>
        <v>0.52</v>
      </c>
      <c r="AA13">
        <f>AA7/$AE7</f>
        <v>0.9</v>
      </c>
      <c r="AB13">
        <f>AB7/$AE7</f>
        <v>1</v>
      </c>
      <c r="AC13">
        <f>AC7/$AE7</f>
        <v>1</v>
      </c>
      <c r="AN13" t="s">
        <v>12</v>
      </c>
      <c r="AO13">
        <f>AQ7-AQ8</f>
        <v>6.0000000000000053E-2</v>
      </c>
    </row>
    <row r="14" spans="1:43" ht="18.75" x14ac:dyDescent="0.3">
      <c r="A14" s="8" t="s">
        <v>20</v>
      </c>
      <c r="B14" s="8"/>
      <c r="C14" s="8" t="s">
        <v>21</v>
      </c>
      <c r="D14" s="7">
        <f>IF(AE7=AE8,D12/((AE7+AE8)/2),"Use Dmax")</f>
        <v>0.22</v>
      </c>
      <c r="H14" s="30"/>
      <c r="I14" s="30"/>
      <c r="J14" s="30"/>
      <c r="K14" s="30"/>
      <c r="M14" t="s">
        <v>64</v>
      </c>
      <c r="N14" s="1">
        <f>IF(MIN(AE7:AE8)&gt;39,AE21,"na")</f>
        <v>0.2757716446627535</v>
      </c>
      <c r="O14" s="23" t="str">
        <f>IF(MIN(AE7:AE8)&gt;39,AF21,"na")</f>
        <v>No</v>
      </c>
      <c r="W14" t="str">
        <f>B8</f>
        <v>Deposit B</v>
      </c>
      <c r="X14">
        <f>X8/$AE8</f>
        <v>0.16</v>
      </c>
      <c r="Y14">
        <f>Y8/$AE8</f>
        <v>0.32</v>
      </c>
      <c r="Z14">
        <f>Z8/$AE8</f>
        <v>0.5</v>
      </c>
      <c r="AA14">
        <f>AA8/$AE8</f>
        <v>0.68</v>
      </c>
      <c r="AB14">
        <f>AB8/$AE8</f>
        <v>0.84</v>
      </c>
      <c r="AC14">
        <f>AC8/$AE8</f>
        <v>1</v>
      </c>
      <c r="AN14" t="s">
        <v>13</v>
      </c>
      <c r="AO14">
        <f>((AO10/AE7)+(AO11/AE8))^0.5</f>
        <v>0.18900056116639474</v>
      </c>
    </row>
    <row r="15" spans="1:43" ht="18.75" x14ac:dyDescent="0.3">
      <c r="A15" s="8"/>
      <c r="B15" s="8"/>
      <c r="C15" s="8"/>
      <c r="D15" s="8"/>
      <c r="AE15" t="s">
        <v>18</v>
      </c>
      <c r="AN15" t="s">
        <v>14</v>
      </c>
      <c r="AO15" s="15">
        <f>AO13/AO14</f>
        <v>0.31745937488077869</v>
      </c>
    </row>
    <row r="16" spans="1:43" x14ac:dyDescent="0.25">
      <c r="A16" s="30" t="str">
        <f>IF(MIN(AE7:AE8)&lt;50,"Your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W16" t="s">
        <v>17</v>
      </c>
      <c r="X16">
        <f>ABS(X13-X14)</f>
        <v>0.16</v>
      </c>
      <c r="Y16">
        <f t="shared" ref="Y16:AC16" si="10">ABS(Y13-Y14)</f>
        <v>0.18</v>
      </c>
      <c r="Z16">
        <f t="shared" si="10"/>
        <v>2.0000000000000018E-2</v>
      </c>
      <c r="AA16">
        <f t="shared" si="10"/>
        <v>0.21999999999999997</v>
      </c>
      <c r="AB16">
        <f t="shared" si="10"/>
        <v>0.16000000000000003</v>
      </c>
      <c r="AC16">
        <f t="shared" si="10"/>
        <v>0</v>
      </c>
      <c r="AE16">
        <f>MAX(X16:AC16)</f>
        <v>0.21999999999999997</v>
      </c>
      <c r="AN16" t="s">
        <v>0</v>
      </c>
      <c r="AO16">
        <f>AE7+AE8-2</f>
        <v>198</v>
      </c>
    </row>
    <row r="17" spans="1:42" x14ac:dyDescent="0.25">
      <c r="A17" s="30"/>
      <c r="B17" s="30"/>
      <c r="C17" s="30"/>
      <c r="D17" s="30"/>
      <c r="AN17" t="s">
        <v>31</v>
      </c>
      <c r="AO17">
        <f>_xlfn.T.DIST.2T(AO15,AO16)</f>
        <v>0.75122957993041062</v>
      </c>
    </row>
    <row r="18" spans="1:42" x14ac:dyDescent="0.25">
      <c r="A18" s="30"/>
      <c r="B18" s="30"/>
      <c r="C18" s="30"/>
      <c r="D18" s="30"/>
      <c r="AC18" t="s">
        <v>25</v>
      </c>
      <c r="AE18">
        <f>((AE7+AE8)/(AE7*AE8))^0.5</f>
        <v>0.1414213562373095</v>
      </c>
      <c r="AN18" t="s">
        <v>35</v>
      </c>
      <c r="AO18">
        <f>AO17/2</f>
        <v>0.37561478996520531</v>
      </c>
    </row>
    <row r="19" spans="1:42" x14ac:dyDescent="0.25">
      <c r="AC19">
        <v>0.05</v>
      </c>
      <c r="AD19">
        <v>1.36</v>
      </c>
      <c r="AE19">
        <f>AD19*AE18</f>
        <v>0.19233304448274094</v>
      </c>
      <c r="AF19" t="str">
        <f>IF(AE16&gt;AE19,"Yes","No")</f>
        <v>Yes</v>
      </c>
      <c r="AN19" t="s">
        <v>36</v>
      </c>
      <c r="AO19">
        <f>_xlfn.NORM.S.INV(AO18)</f>
        <v>-0.31701848000568367</v>
      </c>
    </row>
    <row r="20" spans="1:42" ht="18.75" x14ac:dyDescent="0.3">
      <c r="A20" s="10" t="s">
        <v>22</v>
      </c>
      <c r="B20" s="10"/>
      <c r="C20" s="8" t="s">
        <v>26</v>
      </c>
      <c r="D20" s="7">
        <f>IF(MIN(AE7:AE8)&gt;24,AO15,"na")</f>
        <v>0.31745937488077869</v>
      </c>
      <c r="AC20">
        <v>0.01</v>
      </c>
      <c r="AD20">
        <v>1.63</v>
      </c>
      <c r="AE20">
        <f>AD20*AE18</f>
        <v>0.23051681066681448</v>
      </c>
      <c r="AF20" t="str">
        <f>IF(AE16&gt;AE20,"Yes","No")</f>
        <v>No</v>
      </c>
      <c r="AN20" t="s">
        <v>37</v>
      </c>
      <c r="AO20">
        <f>AO19/((AE7+AE8)^0.5)</f>
        <v>-2.2416591697347086E-2</v>
      </c>
    </row>
    <row r="21" spans="1:42" ht="18.75" x14ac:dyDescent="0.3">
      <c r="A21" s="10"/>
      <c r="B21" s="10" t="s">
        <v>23</v>
      </c>
      <c r="C21" s="8" t="s">
        <v>25</v>
      </c>
      <c r="D21" s="7">
        <f>IF(MIN(AE7:AE8)&gt;24,AO17,"na")</f>
        <v>0.75122957993041062</v>
      </c>
      <c r="AC21">
        <v>1E-3</v>
      </c>
      <c r="AD21">
        <v>1.95</v>
      </c>
      <c r="AE21">
        <f>AD21*AE18</f>
        <v>0.2757716446627535</v>
      </c>
      <c r="AF21" t="str">
        <f>IF(AE16&gt;AE21,"Yes","No")</f>
        <v>No</v>
      </c>
      <c r="AN21" t="s">
        <v>40</v>
      </c>
      <c r="AO21">
        <f>(MAX(AO10:AO11))/(MIN(AO10:AO11))</f>
        <v>3.8683920704845813</v>
      </c>
    </row>
    <row r="22" spans="1:42" ht="18.75" x14ac:dyDescent="0.3">
      <c r="A22" s="10"/>
      <c r="B22" s="10" t="s">
        <v>24</v>
      </c>
      <c r="C22" s="8" t="s">
        <v>25</v>
      </c>
      <c r="D22" s="7">
        <f>IF(MIN(AE7:AE8)&gt;24,D21/2,"na")</f>
        <v>0.37561478996520531</v>
      </c>
      <c r="AO22" t="s">
        <v>44</v>
      </c>
      <c r="AP22" t="s">
        <v>45</v>
      </c>
    </row>
    <row r="23" spans="1:42" x14ac:dyDescent="0.25">
      <c r="AC23" t="s">
        <v>32</v>
      </c>
      <c r="AD23">
        <f>(4*(AE16^2))</f>
        <v>0.19359999999999997</v>
      </c>
      <c r="AE23">
        <f>(AE7*AE8)/(AE7+AE8)</f>
        <v>50</v>
      </c>
      <c r="AF23">
        <f>AD23*AE23</f>
        <v>9.6799999999999979</v>
      </c>
      <c r="AN23" t="s">
        <v>42</v>
      </c>
      <c r="AO23">
        <f>_xlfn.F.INV.RT(0.025,MAX(AE7:AE8)-1,MIN(AE7:AE8)-1)</f>
        <v>1.4862337676192938</v>
      </c>
      <c r="AP23">
        <f>_xlfn.F.INV.RT(0.05,MAX(AE7:AE8)-1,MIN(AE7:AE8)-1)</f>
        <v>1.3940612573481483</v>
      </c>
    </row>
    <row r="24" spans="1:42" ht="15.75" x14ac:dyDescent="0.25">
      <c r="B24" s="7" t="s">
        <v>27</v>
      </c>
      <c r="C24" s="7" t="s">
        <v>28</v>
      </c>
      <c r="AC24" t="s">
        <v>33</v>
      </c>
      <c r="AD24">
        <f>_xlfn.CHISQ.DIST.RT(AF23,2)</f>
        <v>7.9070540515934484E-3</v>
      </c>
      <c r="AN24" t="s">
        <v>43</v>
      </c>
      <c r="AO24">
        <f>_xlfn.F.INV.RT(0.005,MAX(AE7:AE8)-1,MIN(AE7:AE8)-1)</f>
        <v>1.6853634818107408</v>
      </c>
      <c r="AP24">
        <f>_xlfn.F.INV.RT(0.01,MAX(AE7:AE8)-1,MIN(AE7:AE8)-1)</f>
        <v>1.601498294840046</v>
      </c>
    </row>
    <row r="25" spans="1:42" ht="15.75" x14ac:dyDescent="0.25">
      <c r="A25" s="7" t="str">
        <f>B7</f>
        <v>Deposit A</v>
      </c>
      <c r="B25">
        <f>AO7</f>
        <v>3.44</v>
      </c>
      <c r="C25" s="5">
        <f>AP10</f>
        <v>0.85658471486326071</v>
      </c>
    </row>
    <row r="26" spans="1:42" ht="15.75" x14ac:dyDescent="0.25">
      <c r="A26" s="7" t="str">
        <f>B8</f>
        <v>Deposit B</v>
      </c>
      <c r="B26">
        <f>AO8</f>
        <v>3.5</v>
      </c>
      <c r="C26" s="5">
        <f>AP11</f>
        <v>1.6847503786566835</v>
      </c>
      <c r="AC26" t="s">
        <v>34</v>
      </c>
      <c r="AD26">
        <f>AD24*2</f>
        <v>1.5814108103186897E-2</v>
      </c>
    </row>
    <row r="28" spans="1:42" x14ac:dyDescent="0.25">
      <c r="A28" t="s">
        <v>38</v>
      </c>
      <c r="C28">
        <f>ABS(AO20)</f>
        <v>2.2416591697347086E-2</v>
      </c>
    </row>
    <row r="30" spans="1:42" x14ac:dyDescent="0.25">
      <c r="D30" t="s">
        <v>31</v>
      </c>
      <c r="E30" t="s">
        <v>35</v>
      </c>
    </row>
    <row r="31" spans="1:42" x14ac:dyDescent="0.25">
      <c r="A31" t="s">
        <v>41</v>
      </c>
      <c r="C31">
        <f>AO21</f>
        <v>3.8683920704845813</v>
      </c>
      <c r="D31" t="str">
        <f>IF(C31&lt;AO23,"p &gt; 0.05","p&lt;0.05")</f>
        <v>p&lt;0.05</v>
      </c>
      <c r="E31" t="str">
        <f>IF(C31&lt;AP23,"p &gt; 0.05","p&lt;0.05")</f>
        <v>p&lt;0.05</v>
      </c>
    </row>
    <row r="32" spans="1:42" x14ac:dyDescent="0.25">
      <c r="D32" t="str">
        <f>IF(C31&lt;AO24,"p &gt; 0.01","p&lt;0.01")</f>
        <v>p&lt;0.01</v>
      </c>
      <c r="E32" t="str">
        <f>IF(C31&lt;AP24,"p &gt; 0.01","p&lt;0.01")</f>
        <v>p&lt;0.01</v>
      </c>
    </row>
  </sheetData>
  <mergeCells count="5">
    <mergeCell ref="A16:D18"/>
    <mergeCell ref="B2:I3"/>
    <mergeCell ref="B7:C7"/>
    <mergeCell ref="B8:C8"/>
    <mergeCell ref="H12:K1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32"/>
  <sheetViews>
    <sheetView topLeftCell="A4" workbookViewId="0">
      <selection activeCell="O12" sqref="O12:O14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40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40" x14ac:dyDescent="0.25">
      <c r="B3" s="30"/>
      <c r="C3" s="30"/>
      <c r="D3" s="30"/>
      <c r="E3" s="30"/>
      <c r="F3" s="30"/>
      <c r="G3" s="30"/>
      <c r="H3" s="30"/>
      <c r="I3" s="30"/>
    </row>
    <row r="4" spans="1:40" x14ac:dyDescent="0.25">
      <c r="R4" t="s">
        <v>29</v>
      </c>
    </row>
    <row r="5" spans="1:40" ht="15.75" customHeight="1" thickBot="1" x14ac:dyDescent="0.3"/>
    <row r="6" spans="1:40" ht="19.5" thickBot="1" x14ac:dyDescent="0.3">
      <c r="C6" s="11"/>
      <c r="D6" s="2" t="s">
        <v>50</v>
      </c>
      <c r="E6" s="2" t="s">
        <v>46</v>
      </c>
      <c r="F6" s="2" t="s">
        <v>47</v>
      </c>
      <c r="G6" s="2" t="s">
        <v>56</v>
      </c>
      <c r="H6" s="2" t="s">
        <v>48</v>
      </c>
      <c r="I6" s="2" t="s">
        <v>11</v>
      </c>
      <c r="J6" s="2" t="s">
        <v>49</v>
      </c>
      <c r="L6" s="9" t="s">
        <v>7</v>
      </c>
      <c r="M6" s="9"/>
      <c r="N6" s="9"/>
      <c r="O6" s="9"/>
      <c r="P6" s="9"/>
      <c r="Q6" s="13"/>
      <c r="S6" s="4" t="str">
        <f t="shared" ref="S6:Y6" si="0">D6</f>
        <v>VSA</v>
      </c>
      <c r="T6" s="4" t="str">
        <f t="shared" si="0"/>
        <v>SA</v>
      </c>
      <c r="U6" s="4" t="str">
        <f t="shared" si="0"/>
        <v>A</v>
      </c>
      <c r="V6" s="4" t="str">
        <f t="shared" si="0"/>
        <v>N</v>
      </c>
      <c r="W6" s="4" t="str">
        <f t="shared" si="0"/>
        <v>D</v>
      </c>
      <c r="X6" s="4" t="str">
        <f t="shared" si="0"/>
        <v>SD</v>
      </c>
      <c r="Y6" s="4" t="str">
        <f t="shared" si="0"/>
        <v>VSD</v>
      </c>
      <c r="Z6" s="4"/>
      <c r="AA6" s="2" t="s">
        <v>7</v>
      </c>
      <c r="AB6" s="4"/>
      <c r="AD6" s="4" t="str">
        <f>D6</f>
        <v>VSA</v>
      </c>
      <c r="AE6" s="4" t="str">
        <f>E6</f>
        <v>SA</v>
      </c>
      <c r="AF6" s="4" t="str">
        <f>F6</f>
        <v>A</v>
      </c>
      <c r="AG6" s="4" t="str">
        <f t="shared" ref="AG6:AJ6" si="1">G6</f>
        <v>N</v>
      </c>
      <c r="AH6" s="4" t="str">
        <f t="shared" si="1"/>
        <v>D</v>
      </c>
      <c r="AI6" s="4" t="str">
        <f t="shared" si="1"/>
        <v>SD</v>
      </c>
      <c r="AJ6" s="4" t="str">
        <f t="shared" si="1"/>
        <v>VSD</v>
      </c>
      <c r="AL6" t="s">
        <v>9</v>
      </c>
    </row>
    <row r="7" spans="1:40" ht="19.5" thickBot="1" x14ac:dyDescent="0.3">
      <c r="B7" s="33" t="s">
        <v>51</v>
      </c>
      <c r="C7" s="34"/>
      <c r="D7" s="12">
        <v>2</v>
      </c>
      <c r="E7" s="12">
        <v>16</v>
      </c>
      <c r="F7" s="12">
        <v>27</v>
      </c>
      <c r="G7" s="12">
        <v>14</v>
      </c>
      <c r="H7" s="12">
        <v>6</v>
      </c>
      <c r="I7" s="12">
        <v>2</v>
      </c>
      <c r="J7" s="12">
        <v>0</v>
      </c>
      <c r="L7">
        <f>SUM(D7:J7)</f>
        <v>67</v>
      </c>
      <c r="Q7" s="13"/>
      <c r="R7" t="str">
        <f>B7</f>
        <v>Male</v>
      </c>
      <c r="S7">
        <f>D7</f>
        <v>2</v>
      </c>
      <c r="T7">
        <f t="shared" ref="T7:V8" si="2">E7+S7</f>
        <v>18</v>
      </c>
      <c r="U7">
        <f t="shared" si="2"/>
        <v>45</v>
      </c>
      <c r="V7">
        <f t="shared" si="2"/>
        <v>59</v>
      </c>
      <c r="W7">
        <f t="shared" ref="W7:Y7" si="3">H7+V7</f>
        <v>65</v>
      </c>
      <c r="X7">
        <f t="shared" si="3"/>
        <v>67</v>
      </c>
      <c r="Y7">
        <f t="shared" si="3"/>
        <v>67</v>
      </c>
      <c r="AA7" s="3">
        <f>SUM(D7:J7)</f>
        <v>67</v>
      </c>
      <c r="AC7" t="str">
        <f>B7</f>
        <v>Male</v>
      </c>
      <c r="AD7">
        <f>D7*D10</f>
        <v>6</v>
      </c>
      <c r="AE7">
        <f>E7*E10</f>
        <v>32</v>
      </c>
      <c r="AF7">
        <f>F7*F10</f>
        <v>27</v>
      </c>
      <c r="AG7">
        <f>G7*G10</f>
        <v>0</v>
      </c>
      <c r="AH7">
        <f t="shared" ref="AH7:AJ7" si="4">H7*H10</f>
        <v>-6</v>
      </c>
      <c r="AI7">
        <f t="shared" si="4"/>
        <v>-4</v>
      </c>
      <c r="AJ7">
        <f t="shared" si="4"/>
        <v>0</v>
      </c>
      <c r="AL7">
        <f>SUM(AD7:AJ7)/AA7</f>
        <v>0.82089552238805974</v>
      </c>
      <c r="AM7" t="s">
        <v>15</v>
      </c>
      <c r="AN7">
        <f>MAX(AL7:AL8)</f>
        <v>0.82089552238805974</v>
      </c>
    </row>
    <row r="8" spans="1:40" ht="19.5" thickBot="1" x14ac:dyDescent="0.3">
      <c r="B8" s="33" t="s">
        <v>52</v>
      </c>
      <c r="C8" s="34"/>
      <c r="D8" s="12">
        <v>2</v>
      </c>
      <c r="E8" s="12">
        <v>12</v>
      </c>
      <c r="F8" s="12">
        <v>12</v>
      </c>
      <c r="G8" s="12">
        <v>27</v>
      </c>
      <c r="H8" s="12">
        <v>14</v>
      </c>
      <c r="I8" s="12">
        <v>7</v>
      </c>
      <c r="J8" s="12">
        <v>1</v>
      </c>
      <c r="L8">
        <f>SUM(D8:J8)</f>
        <v>75</v>
      </c>
      <c r="Q8" s="13"/>
      <c r="R8" t="str">
        <f>B8</f>
        <v>Female</v>
      </c>
      <c r="S8">
        <f>D8</f>
        <v>2</v>
      </c>
      <c r="T8">
        <f t="shared" si="2"/>
        <v>14</v>
      </c>
      <c r="U8">
        <f t="shared" si="2"/>
        <v>26</v>
      </c>
      <c r="V8">
        <f t="shared" si="2"/>
        <v>53</v>
      </c>
      <c r="W8">
        <f t="shared" ref="W8:Y8" si="5">H8+V8</f>
        <v>67</v>
      </c>
      <c r="X8">
        <f t="shared" si="5"/>
        <v>74</v>
      </c>
      <c r="Y8">
        <f t="shared" si="5"/>
        <v>75</v>
      </c>
      <c r="AA8" s="3">
        <f>SUM(D8:J8)</f>
        <v>75</v>
      </c>
      <c r="AC8" t="str">
        <f>B8</f>
        <v>Female</v>
      </c>
      <c r="AD8">
        <f>D8*D10</f>
        <v>6</v>
      </c>
      <c r="AE8">
        <f>E8*E10</f>
        <v>24</v>
      </c>
      <c r="AF8">
        <f>F8*F10</f>
        <v>12</v>
      </c>
      <c r="AG8">
        <f t="shared" ref="AG8:AJ8" si="6">G8*G10</f>
        <v>0</v>
      </c>
      <c r="AH8">
        <f t="shared" si="6"/>
        <v>-14</v>
      </c>
      <c r="AI8">
        <f t="shared" si="6"/>
        <v>-14</v>
      </c>
      <c r="AJ8">
        <f t="shared" si="6"/>
        <v>-3</v>
      </c>
      <c r="AL8">
        <f>SUM(AD8:AJ8)/AA8</f>
        <v>0.14666666666666667</v>
      </c>
      <c r="AM8" t="s">
        <v>16</v>
      </c>
      <c r="AN8">
        <f>MIN(AL7:AL8)</f>
        <v>0.14666666666666667</v>
      </c>
    </row>
    <row r="9" spans="1:40" x14ac:dyDescent="0.25">
      <c r="AA9" t="s">
        <v>18</v>
      </c>
      <c r="AL9" t="s">
        <v>10</v>
      </c>
      <c r="AM9" t="s">
        <v>11</v>
      </c>
    </row>
    <row r="10" spans="1:40" ht="18.75" x14ac:dyDescent="0.3">
      <c r="B10" s="8" t="s">
        <v>8</v>
      </c>
      <c r="D10" s="6">
        <v>3</v>
      </c>
      <c r="E10" s="6">
        <v>2</v>
      </c>
      <c r="F10" s="6">
        <v>1</v>
      </c>
      <c r="G10" s="6">
        <v>0</v>
      </c>
      <c r="H10" s="6">
        <v>-1</v>
      </c>
      <c r="I10" s="6">
        <v>-2</v>
      </c>
      <c r="J10" s="6">
        <v>-3</v>
      </c>
      <c r="R10" t="s">
        <v>17</v>
      </c>
      <c r="S10">
        <f>ABS(S7-S8)</f>
        <v>0</v>
      </c>
      <c r="T10">
        <f t="shared" ref="T10:U10" si="7">ABS(T7-T8)</f>
        <v>4</v>
      </c>
      <c r="U10">
        <f t="shared" si="7"/>
        <v>19</v>
      </c>
      <c r="V10">
        <f t="shared" ref="V10:Y10" si="8">ABS(V7-V8)</f>
        <v>6</v>
      </c>
      <c r="W10">
        <f t="shared" si="8"/>
        <v>2</v>
      </c>
      <c r="X10">
        <f t="shared" si="8"/>
        <v>7</v>
      </c>
      <c r="Y10">
        <f t="shared" si="8"/>
        <v>8</v>
      </c>
      <c r="AA10">
        <f>MAX(S10:Y10)</f>
        <v>19</v>
      </c>
      <c r="AC10" t="str">
        <f>AC7</f>
        <v>Male</v>
      </c>
      <c r="AD10">
        <f>((D10-$AL7)^2)*D7</f>
        <v>9.4969926486968159</v>
      </c>
      <c r="AE10">
        <f>((E10-$AL7)^2)*E7</f>
        <v>22.244597905992428</v>
      </c>
      <c r="AF10">
        <f>((F10-$AL7)^2)*F7</f>
        <v>0.86611717531744226</v>
      </c>
      <c r="AG10">
        <f t="shared" ref="AG10:AJ10" si="9">((G10-$AL7)^2)*G7</f>
        <v>9.4341724214747167</v>
      </c>
      <c r="AH10">
        <f t="shared" si="9"/>
        <v>19.893963020717308</v>
      </c>
      <c r="AI10">
        <f t="shared" si="9"/>
        <v>15.914903096458008</v>
      </c>
      <c r="AJ10">
        <f t="shared" si="9"/>
        <v>0</v>
      </c>
      <c r="AL10">
        <f>(SUM(AD10:AJ10))/(AA7-1)</f>
        <v>1.1795567616463138</v>
      </c>
      <c r="AM10" s="5">
        <f>AL10^0.5</f>
        <v>1.086074012968874</v>
      </c>
    </row>
    <row r="11" spans="1:40" x14ac:dyDescent="0.25">
      <c r="M11" t="s">
        <v>63</v>
      </c>
      <c r="O11" t="s">
        <v>65</v>
      </c>
      <c r="AC11" t="str">
        <f>AC8</f>
        <v>Female</v>
      </c>
      <c r="AD11">
        <f>((D10-$AL8)^2)*D8</f>
        <v>16.283022222222225</v>
      </c>
      <c r="AE11">
        <f>((E10-$AL8)^2)*E8</f>
        <v>41.218133333333334</v>
      </c>
      <c r="AF11">
        <f>((F10-$AL8)^2)*F8</f>
        <v>8.738133333333332</v>
      </c>
      <c r="AG11">
        <f t="shared" ref="AG11:AJ11" si="10">((G10-$AL8)^2)*G8</f>
        <v>0.58080000000000009</v>
      </c>
      <c r="AH11">
        <f t="shared" si="10"/>
        <v>18.407822222222222</v>
      </c>
      <c r="AI11">
        <f t="shared" si="10"/>
        <v>32.257244444444439</v>
      </c>
      <c r="AJ11">
        <f t="shared" si="10"/>
        <v>9.9015111111111107</v>
      </c>
      <c r="AL11">
        <f>(SUM(AD11:AJ11))/(AA8-1)</f>
        <v>1.7214414414414414</v>
      </c>
      <c r="AM11" s="5">
        <f>AL11^0.5</f>
        <v>1.312037134170158</v>
      </c>
    </row>
    <row r="12" spans="1:40" ht="17.25" customHeight="1" x14ac:dyDescent="0.25">
      <c r="A12" s="17"/>
      <c r="B12" s="17"/>
      <c r="C12" s="14" t="s">
        <v>19</v>
      </c>
      <c r="D12" s="14">
        <f>IF(AA7=AA8,AA10,AA16)</f>
        <v>0.32497512437810949</v>
      </c>
      <c r="E12" s="16"/>
      <c r="F12" s="16" t="s">
        <v>31</v>
      </c>
      <c r="G12" s="22">
        <f>IF(Y26&lt;1,Y26,"na")</f>
        <v>1.1348206250560108E-3</v>
      </c>
      <c r="H12" s="30" t="s">
        <v>39</v>
      </c>
      <c r="I12" s="30"/>
      <c r="J12" s="30"/>
      <c r="K12" s="30"/>
      <c r="M12" t="s">
        <v>62</v>
      </c>
      <c r="N12" s="1">
        <f>IF(MIN(AA7:AA8)&gt;39,Z19,"na")</f>
        <v>0.22862043540022201</v>
      </c>
      <c r="O12" s="23" t="str">
        <f>IF(MIN(AA7:AA8)&gt;39,AA19,"na")</f>
        <v>Yes</v>
      </c>
      <c r="S12" s="4"/>
      <c r="T12" s="4"/>
      <c r="U12" s="4"/>
      <c r="V12" s="4"/>
      <c r="W12" s="4"/>
      <c r="X12" s="4"/>
      <c r="Y12" s="4"/>
    </row>
    <row r="13" spans="1:40" ht="15" customHeight="1" x14ac:dyDescent="0.25">
      <c r="A13" s="17"/>
      <c r="B13" s="17"/>
      <c r="F13" t="s">
        <v>35</v>
      </c>
      <c r="G13" s="20">
        <f>Y24</f>
        <v>5.6741031252800539E-4</v>
      </c>
      <c r="H13" s="30"/>
      <c r="I13" s="30"/>
      <c r="J13" s="30"/>
      <c r="K13" s="30"/>
      <c r="M13" t="s">
        <v>64</v>
      </c>
      <c r="N13" s="1">
        <f>IF(MIN(AA7:AA8)&gt;39,Z20,"na")</f>
        <v>0.27400831595761899</v>
      </c>
      <c r="O13" s="23" t="str">
        <f>IF(MIN(AA7:AA8)&gt;39,AA20,"na")</f>
        <v>Yes</v>
      </c>
      <c r="R13" t="str">
        <f>B7</f>
        <v>Male</v>
      </c>
      <c r="S13">
        <f t="shared" ref="S13:Y14" si="11">S7/$AA7</f>
        <v>2.9850746268656716E-2</v>
      </c>
      <c r="T13">
        <f t="shared" si="11"/>
        <v>0.26865671641791045</v>
      </c>
      <c r="U13">
        <f t="shared" si="11"/>
        <v>0.67164179104477617</v>
      </c>
      <c r="V13">
        <f t="shared" si="11"/>
        <v>0.88059701492537312</v>
      </c>
      <c r="W13">
        <f t="shared" si="11"/>
        <v>0.97014925373134331</v>
      </c>
      <c r="X13">
        <f t="shared" si="11"/>
        <v>1</v>
      </c>
      <c r="Y13">
        <f t="shared" si="11"/>
        <v>1</v>
      </c>
      <c r="AJ13" t="s">
        <v>12</v>
      </c>
      <c r="AK13">
        <f>AN7-AN8</f>
        <v>0.67422885572139313</v>
      </c>
    </row>
    <row r="14" spans="1:40" ht="18.75" x14ac:dyDescent="0.3">
      <c r="A14" s="8" t="s">
        <v>20</v>
      </c>
      <c r="B14" s="8"/>
      <c r="C14" s="8" t="s">
        <v>21</v>
      </c>
      <c r="D14" s="21" t="str">
        <f>IF(AA7=AA8,D12/((AA7+AA8)/2),"Use Dmax")</f>
        <v>Use Dmax</v>
      </c>
      <c r="H14" s="30"/>
      <c r="I14" s="30"/>
      <c r="J14" s="30"/>
      <c r="K14" s="30"/>
      <c r="M14" t="s">
        <v>64</v>
      </c>
      <c r="N14" s="1">
        <f>IF(MIN(AA7:AA8)&gt;39,Z21,"na")</f>
        <v>0.3278013595812006</v>
      </c>
      <c r="O14" s="23" t="str">
        <f>IF(MIN(AA7:AA8)&gt;39,AA21,"na")</f>
        <v>No</v>
      </c>
      <c r="R14" t="str">
        <f>B8</f>
        <v>Female</v>
      </c>
      <c r="S14">
        <f t="shared" si="11"/>
        <v>2.6666666666666668E-2</v>
      </c>
      <c r="T14">
        <f t="shared" si="11"/>
        <v>0.18666666666666668</v>
      </c>
      <c r="U14">
        <f t="shared" si="11"/>
        <v>0.34666666666666668</v>
      </c>
      <c r="V14">
        <f t="shared" si="11"/>
        <v>0.70666666666666667</v>
      </c>
      <c r="W14">
        <f t="shared" si="11"/>
        <v>0.89333333333333331</v>
      </c>
      <c r="X14">
        <f t="shared" si="11"/>
        <v>0.98666666666666669</v>
      </c>
      <c r="Y14">
        <f t="shared" si="11"/>
        <v>1</v>
      </c>
      <c r="AJ14" t="s">
        <v>13</v>
      </c>
      <c r="AK14">
        <f>((AL10/AA7)+(AL11/AA8))^0.5</f>
        <v>0.20138986407772314</v>
      </c>
    </row>
    <row r="15" spans="1:40" ht="18.75" x14ac:dyDescent="0.3">
      <c r="A15" s="8"/>
      <c r="B15" s="8"/>
      <c r="C15" s="8"/>
      <c r="D15" s="8"/>
      <c r="AA15" t="s">
        <v>18</v>
      </c>
      <c r="AJ15" t="s">
        <v>14</v>
      </c>
      <c r="AK15" s="15">
        <f>AK13/AK14</f>
        <v>3.3478787962297125</v>
      </c>
    </row>
    <row r="16" spans="1:40" x14ac:dyDescent="0.25">
      <c r="A16" s="30" t="str">
        <f>IF(MIN(AA7:AA8)&lt;50,"Your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3.1840796019900475E-3</v>
      </c>
      <c r="T16">
        <f t="shared" ref="T16:Y16" si="12">ABS(T13-T14)</f>
        <v>8.1990049751243771E-2</v>
      </c>
      <c r="U16">
        <f t="shared" si="12"/>
        <v>0.32497512437810949</v>
      </c>
      <c r="V16">
        <f t="shared" ref="V16" si="13">ABS(V13-V14)</f>
        <v>0.17393034825870646</v>
      </c>
      <c r="W16">
        <f t="shared" si="12"/>
        <v>7.6815920398009996E-2</v>
      </c>
      <c r="X16">
        <f t="shared" si="12"/>
        <v>1.3333333333333308E-2</v>
      </c>
      <c r="Y16">
        <f t="shared" si="12"/>
        <v>0</v>
      </c>
      <c r="AA16">
        <f>MAX(S16:Y16)</f>
        <v>0.32497512437810949</v>
      </c>
      <c r="AJ16" t="s">
        <v>0</v>
      </c>
      <c r="AK16">
        <f>AA7+AA8-2</f>
        <v>140</v>
      </c>
    </row>
    <row r="17" spans="1:37" x14ac:dyDescent="0.25">
      <c r="A17" s="30"/>
      <c r="B17" s="30"/>
      <c r="C17" s="30"/>
      <c r="D17" s="30"/>
      <c r="AI17" t="s">
        <v>31</v>
      </c>
      <c r="AJ17">
        <f>_xlfn.T.DIST.2T(AK15,AK16)</f>
        <v>1.0461615361201707E-3</v>
      </c>
    </row>
    <row r="18" spans="1:37" x14ac:dyDescent="0.25">
      <c r="A18" s="30"/>
      <c r="B18" s="30"/>
      <c r="C18" s="30"/>
      <c r="D18" s="30"/>
      <c r="X18" t="s">
        <v>25</v>
      </c>
      <c r="Z18">
        <f>((AA7+AA8)/(AA7*AA8))^0.5</f>
        <v>0.16810326132369263</v>
      </c>
      <c r="AI18" t="s">
        <v>35</v>
      </c>
      <c r="AJ18">
        <f>AJ17/2</f>
        <v>5.2308076806008535E-4</v>
      </c>
    </row>
    <row r="19" spans="1:37" x14ac:dyDescent="0.25">
      <c r="X19">
        <v>0.05</v>
      </c>
      <c r="Y19">
        <v>1.36</v>
      </c>
      <c r="Z19">
        <f>Y19*Z18</f>
        <v>0.22862043540022201</v>
      </c>
      <c r="AA19" t="str">
        <f>IF(AA16&gt;Z19,"Yes","No")</f>
        <v>Yes</v>
      </c>
      <c r="AI19" t="s">
        <v>36</v>
      </c>
      <c r="AJ19">
        <f>_xlfn.NORM.S.INV(AJ18)</f>
        <v>-3.2778090110635252</v>
      </c>
    </row>
    <row r="20" spans="1:37" ht="18.75" x14ac:dyDescent="0.3">
      <c r="A20" s="10" t="s">
        <v>22</v>
      </c>
      <c r="B20" s="10"/>
      <c r="C20" s="8" t="s">
        <v>26</v>
      </c>
      <c r="D20" s="7">
        <f>IF(MIN(AA7:AA8)&gt;24,AK15,"na")</f>
        <v>3.3478787962297125</v>
      </c>
      <c r="X20">
        <v>0.01</v>
      </c>
      <c r="Y20">
        <v>1.63</v>
      </c>
      <c r="Z20">
        <f>Y20*Z18</f>
        <v>0.27400831595761899</v>
      </c>
      <c r="AA20" t="str">
        <f>IF(AA16&gt;Z20,"Yes","No")</f>
        <v>Yes</v>
      </c>
      <c r="AI20" t="s">
        <v>37</v>
      </c>
      <c r="AJ20">
        <f>AJ19/((AA7+AA8)^0.5)</f>
        <v>-0.27506762181414163</v>
      </c>
    </row>
    <row r="21" spans="1:37" ht="18.75" x14ac:dyDescent="0.3">
      <c r="A21" s="10"/>
      <c r="B21" s="10" t="s">
        <v>23</v>
      </c>
      <c r="C21" s="8" t="s">
        <v>25</v>
      </c>
      <c r="D21" s="7">
        <f>IF(MIN(AA7:AA8)&gt;24,AJ17,"na")</f>
        <v>1.0461615361201707E-3</v>
      </c>
      <c r="X21">
        <v>1E-3</v>
      </c>
      <c r="Y21">
        <v>1.95</v>
      </c>
      <c r="Z21">
        <f>Y21*Z18</f>
        <v>0.3278013595812006</v>
      </c>
      <c r="AA21" t="str">
        <f>IF(AA16&gt;Z21,"Yes","No")</f>
        <v>No</v>
      </c>
      <c r="AI21" t="s">
        <v>40</v>
      </c>
      <c r="AJ21">
        <f>(MAX(AL10:AL11))/(MIN(AL10:AL11))</f>
        <v>1.4593968661913448</v>
      </c>
    </row>
    <row r="22" spans="1:37" ht="18.75" x14ac:dyDescent="0.3">
      <c r="A22" s="10"/>
      <c r="B22" s="10" t="s">
        <v>24</v>
      </c>
      <c r="C22" s="8" t="s">
        <v>25</v>
      </c>
      <c r="D22" s="7">
        <f>IF(MIN(AA7:AA8)&gt;24,D21/2,"na")</f>
        <v>5.2308076806008535E-4</v>
      </c>
      <c r="AJ22" t="s">
        <v>44</v>
      </c>
      <c r="AK22" t="s">
        <v>45</v>
      </c>
    </row>
    <row r="23" spans="1:37" x14ac:dyDescent="0.25">
      <c r="X23" t="s">
        <v>32</v>
      </c>
      <c r="Y23">
        <f>(4*(AA16^2))</f>
        <v>0.42243532585827093</v>
      </c>
      <c r="Z23">
        <f>(AA7*AA8)/(AA7+AA8)</f>
        <v>35.387323943661968</v>
      </c>
      <c r="AA23">
        <f>Y23*Z23</f>
        <v>14.948855721393036</v>
      </c>
      <c r="AI23" t="s">
        <v>42</v>
      </c>
      <c r="AJ23">
        <f>_xlfn.F.INV.RT(0.025,MAX(AA7:AA8)-1,MIN(AA7:AA8)-1)</f>
        <v>1.6102466006222653</v>
      </c>
      <c r="AK23">
        <f>_xlfn.F.INV.RT(0.05,MAX(AA7:AA8)-1,MIN(AA7:AA8)-1)</f>
        <v>1.4905465049624811</v>
      </c>
    </row>
    <row r="24" spans="1:37" ht="15.75" x14ac:dyDescent="0.25">
      <c r="B24" s="7" t="s">
        <v>27</v>
      </c>
      <c r="C24" s="7" t="s">
        <v>28</v>
      </c>
      <c r="X24" t="s">
        <v>33</v>
      </c>
      <c r="Y24">
        <f>_xlfn.CHISQ.DIST.RT(AA23,2)</f>
        <v>5.6741031252800539E-4</v>
      </c>
      <c r="AI24" t="s">
        <v>43</v>
      </c>
      <c r="AJ24">
        <f>_xlfn.F.INV.RT(0.005,MAX(AA7:AA8)-1,MIN(AA7:AA8)-1)</f>
        <v>1.8751952272551422</v>
      </c>
      <c r="AK24">
        <f>_xlfn.F.INV.RT(0.01,MAX(AA7:AA8)-1,MIN(AA7:AA8)-1)</f>
        <v>1.7625689841817787</v>
      </c>
    </row>
    <row r="25" spans="1:37" ht="15.75" x14ac:dyDescent="0.25">
      <c r="A25" s="7" t="str">
        <f>B7</f>
        <v>Male</v>
      </c>
      <c r="B25">
        <f>AL7</f>
        <v>0.82089552238805974</v>
      </c>
      <c r="C25" s="5">
        <f>AM10</f>
        <v>1.086074012968874</v>
      </c>
    </row>
    <row r="26" spans="1:37" ht="15.75" x14ac:dyDescent="0.25">
      <c r="A26" s="7" t="str">
        <f>B8</f>
        <v>Female</v>
      </c>
      <c r="B26">
        <f>AL8</f>
        <v>0.14666666666666667</v>
      </c>
      <c r="C26" s="5">
        <f>AM11</f>
        <v>1.312037134170158</v>
      </c>
      <c r="X26" t="s">
        <v>34</v>
      </c>
      <c r="Y26">
        <f>Y24*2</f>
        <v>1.1348206250560108E-3</v>
      </c>
    </row>
    <row r="28" spans="1:37" x14ac:dyDescent="0.25">
      <c r="A28" t="s">
        <v>38</v>
      </c>
      <c r="C28">
        <f>ABS(AJ20)</f>
        <v>0.27506762181414163</v>
      </c>
    </row>
    <row r="30" spans="1:37" x14ac:dyDescent="0.25">
      <c r="D30" t="s">
        <v>31</v>
      </c>
      <c r="E30" t="s">
        <v>35</v>
      </c>
    </row>
    <row r="31" spans="1:37" x14ac:dyDescent="0.25">
      <c r="A31" t="s">
        <v>41</v>
      </c>
      <c r="C31">
        <f>AJ21</f>
        <v>1.4593968661913448</v>
      </c>
      <c r="D31" t="str">
        <f>IF(C31&lt;AJ23,"p &gt; 0.05","p&lt;0.05")</f>
        <v>p &gt; 0.05</v>
      </c>
      <c r="E31" t="str">
        <f>IF(C31&lt;AK23,"p &gt; 0.05","p&lt;0.05")</f>
        <v>p &gt; 0.05</v>
      </c>
    </row>
    <row r="32" spans="1:37" x14ac:dyDescent="0.25">
      <c r="D32" t="str">
        <f>IF(C31&lt;AJ24,"p &gt; 0.01","p&lt;0.01")</f>
        <v>p &gt; 0.01</v>
      </c>
      <c r="E32" t="str">
        <f>IF(C31&lt;AK24,"p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32"/>
  <sheetViews>
    <sheetView workbookViewId="0">
      <selection activeCell="L10" sqref="L10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42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42" x14ac:dyDescent="0.25">
      <c r="B3" s="30"/>
      <c r="C3" s="30"/>
      <c r="D3" s="30"/>
      <c r="E3" s="30"/>
      <c r="F3" s="30"/>
      <c r="G3" s="30"/>
      <c r="H3" s="30"/>
      <c r="I3" s="30"/>
    </row>
    <row r="4" spans="1:42" x14ac:dyDescent="0.25">
      <c r="R4" t="s">
        <v>29</v>
      </c>
    </row>
    <row r="5" spans="1:42" ht="15.75" customHeight="1" thickBot="1" x14ac:dyDescent="0.3"/>
    <row r="6" spans="1:42" ht="19.5" thickBot="1" x14ac:dyDescent="0.3">
      <c r="C6" s="11"/>
      <c r="D6" s="2" t="s">
        <v>47</v>
      </c>
      <c r="E6" s="2" t="s">
        <v>53</v>
      </c>
      <c r="F6" s="2" t="s">
        <v>54</v>
      </c>
      <c r="G6" s="2" t="s">
        <v>48</v>
      </c>
      <c r="H6" s="2" t="s">
        <v>55</v>
      </c>
      <c r="I6" s="2" t="s">
        <v>66</v>
      </c>
      <c r="J6" s="2" t="s">
        <v>67</v>
      </c>
      <c r="K6" s="2" t="s">
        <v>68</v>
      </c>
      <c r="M6" s="9" t="s">
        <v>7</v>
      </c>
      <c r="N6" s="9"/>
      <c r="O6" s="9"/>
      <c r="P6" s="9"/>
      <c r="Q6" s="13"/>
      <c r="S6" s="4" t="str">
        <f t="shared" ref="S6:Z6" si="0">D6</f>
        <v>A</v>
      </c>
      <c r="T6" s="4" t="str">
        <f t="shared" si="0"/>
        <v>B</v>
      </c>
      <c r="U6" s="4" t="str">
        <f t="shared" si="0"/>
        <v>C</v>
      </c>
      <c r="V6" s="4" t="str">
        <f t="shared" si="0"/>
        <v>D</v>
      </c>
      <c r="W6" s="4" t="str">
        <f t="shared" si="0"/>
        <v>E</v>
      </c>
      <c r="X6" s="4" t="str">
        <f t="shared" si="0"/>
        <v>F</v>
      </c>
      <c r="Y6" s="4" t="str">
        <f t="shared" si="0"/>
        <v>G</v>
      </c>
      <c r="Z6" s="4" t="str">
        <f t="shared" si="0"/>
        <v>H</v>
      </c>
      <c r="AA6" s="4"/>
      <c r="AB6" s="2" t="s">
        <v>7</v>
      </c>
      <c r="AC6" s="4"/>
      <c r="AE6" s="4" t="str">
        <f t="shared" ref="AE6:AL6" si="1">D6</f>
        <v>A</v>
      </c>
      <c r="AF6" s="4" t="str">
        <f t="shared" si="1"/>
        <v>B</v>
      </c>
      <c r="AG6" s="4" t="str">
        <f t="shared" si="1"/>
        <v>C</v>
      </c>
      <c r="AH6" s="4" t="str">
        <f t="shared" si="1"/>
        <v>D</v>
      </c>
      <c r="AI6" s="4" t="str">
        <f t="shared" si="1"/>
        <v>E</v>
      </c>
      <c r="AJ6" s="4" t="str">
        <f t="shared" si="1"/>
        <v>F</v>
      </c>
      <c r="AK6" s="4" t="str">
        <f t="shared" si="1"/>
        <v>G</v>
      </c>
      <c r="AL6" s="4" t="str">
        <f t="shared" si="1"/>
        <v>H</v>
      </c>
      <c r="AN6" t="s">
        <v>9</v>
      </c>
    </row>
    <row r="7" spans="1:42" ht="19.5" thickBot="1" x14ac:dyDescent="0.3">
      <c r="B7" s="33" t="s">
        <v>51</v>
      </c>
      <c r="C7" s="34"/>
      <c r="D7" s="12">
        <v>20</v>
      </c>
      <c r="E7" s="12">
        <v>10</v>
      </c>
      <c r="F7" s="12">
        <v>10</v>
      </c>
      <c r="G7" s="12">
        <v>10</v>
      </c>
      <c r="H7" s="12">
        <v>10</v>
      </c>
      <c r="I7" s="12">
        <v>10</v>
      </c>
      <c r="J7" s="12">
        <v>10</v>
      </c>
      <c r="K7" s="12">
        <v>10</v>
      </c>
      <c r="M7">
        <f>SUM(D7:K7)</f>
        <v>90</v>
      </c>
      <c r="Q7" s="13"/>
      <c r="R7" t="str">
        <f>B7</f>
        <v>Male</v>
      </c>
      <c r="S7">
        <f>D7</f>
        <v>20</v>
      </c>
      <c r="T7">
        <f>E7+S7</f>
        <v>30</v>
      </c>
      <c r="U7">
        <f t="shared" ref="U7:Z7" si="2">F7+T7</f>
        <v>40</v>
      </c>
      <c r="V7">
        <f t="shared" si="2"/>
        <v>50</v>
      </c>
      <c r="W7">
        <f t="shared" si="2"/>
        <v>60</v>
      </c>
      <c r="X7">
        <f t="shared" si="2"/>
        <v>70</v>
      </c>
      <c r="Y7">
        <f t="shared" si="2"/>
        <v>80</v>
      </c>
      <c r="Z7">
        <f t="shared" si="2"/>
        <v>90</v>
      </c>
      <c r="AB7" s="3">
        <f>SUM(D7:K7)</f>
        <v>90</v>
      </c>
      <c r="AD7" t="str">
        <f>B7</f>
        <v>Male</v>
      </c>
      <c r="AE7">
        <f>D7*D10</f>
        <v>20</v>
      </c>
      <c r="AF7">
        <f t="shared" ref="AF7:AH7" si="3">E7*E10</f>
        <v>20</v>
      </c>
      <c r="AG7">
        <f t="shared" si="3"/>
        <v>30</v>
      </c>
      <c r="AH7">
        <f t="shared" si="3"/>
        <v>40</v>
      </c>
      <c r="AI7">
        <f>H7*H10</f>
        <v>50</v>
      </c>
      <c r="AJ7">
        <f>I7*I10</f>
        <v>60</v>
      </c>
      <c r="AK7">
        <f>J7*J10</f>
        <v>70</v>
      </c>
      <c r="AL7">
        <f>K7*K10</f>
        <v>80</v>
      </c>
      <c r="AN7">
        <f>SUM(AE7:AL7)/AB7</f>
        <v>4.1111111111111107</v>
      </c>
      <c r="AO7" t="s">
        <v>15</v>
      </c>
      <c r="AP7">
        <f>MAX(AN7:AN8)</f>
        <v>4.5853658536585362</v>
      </c>
    </row>
    <row r="8" spans="1:42" ht="19.5" thickBot="1" x14ac:dyDescent="0.3">
      <c r="B8" s="33" t="s">
        <v>52</v>
      </c>
      <c r="C8" s="34"/>
      <c r="D8" s="12">
        <v>10</v>
      </c>
      <c r="E8" s="12">
        <v>10</v>
      </c>
      <c r="F8" s="12">
        <v>10</v>
      </c>
      <c r="G8" s="12">
        <v>10</v>
      </c>
      <c r="H8" s="12">
        <v>10</v>
      </c>
      <c r="I8" s="12">
        <v>10</v>
      </c>
      <c r="J8" s="12">
        <v>10</v>
      </c>
      <c r="K8" s="12">
        <v>12</v>
      </c>
      <c r="M8">
        <f>SUM(D8:K8)</f>
        <v>82</v>
      </c>
      <c r="Q8" s="13"/>
      <c r="R8" t="str">
        <f>B8</f>
        <v>Female</v>
      </c>
      <c r="S8">
        <f>D8</f>
        <v>10</v>
      </c>
      <c r="T8">
        <f>E8+S8</f>
        <v>20</v>
      </c>
      <c r="U8">
        <f t="shared" ref="U8:Z8" si="4">F8+T8</f>
        <v>30</v>
      </c>
      <c r="V8">
        <f t="shared" si="4"/>
        <v>40</v>
      </c>
      <c r="W8">
        <f t="shared" si="4"/>
        <v>50</v>
      </c>
      <c r="X8">
        <f t="shared" si="4"/>
        <v>60</v>
      </c>
      <c r="Y8">
        <f t="shared" si="4"/>
        <v>70</v>
      </c>
      <c r="Z8">
        <f t="shared" si="4"/>
        <v>82</v>
      </c>
      <c r="AB8" s="3">
        <f>SUM(D8:K8)</f>
        <v>82</v>
      </c>
      <c r="AD8" t="str">
        <f>B8</f>
        <v>Female</v>
      </c>
      <c r="AE8">
        <f>D8*D10</f>
        <v>10</v>
      </c>
      <c r="AF8">
        <f t="shared" ref="AF8:AH8" si="5">E8*E10</f>
        <v>20</v>
      </c>
      <c r="AG8">
        <f t="shared" si="5"/>
        <v>30</v>
      </c>
      <c r="AH8">
        <f t="shared" si="5"/>
        <v>40</v>
      </c>
      <c r="AI8">
        <f>H8*H10</f>
        <v>50</v>
      </c>
      <c r="AJ8">
        <f>I8*I10</f>
        <v>60</v>
      </c>
      <c r="AK8">
        <f>J8*J10</f>
        <v>70</v>
      </c>
      <c r="AL8">
        <f>K8*K10</f>
        <v>96</v>
      </c>
      <c r="AN8">
        <f>SUM(AE8:AL8)/AB8</f>
        <v>4.5853658536585362</v>
      </c>
      <c r="AO8" t="s">
        <v>16</v>
      </c>
      <c r="AP8">
        <f>MIN(AN7:AN8)</f>
        <v>4.1111111111111107</v>
      </c>
    </row>
    <row r="9" spans="1:42" x14ac:dyDescent="0.25">
      <c r="AB9" t="s">
        <v>18</v>
      </c>
      <c r="AN9" t="s">
        <v>10</v>
      </c>
      <c r="AO9" t="s">
        <v>11</v>
      </c>
    </row>
    <row r="10" spans="1:42" ht="18.75" x14ac:dyDescent="0.3">
      <c r="B10" s="8" t="s">
        <v>8</v>
      </c>
      <c r="D10" s="6">
        <v>1</v>
      </c>
      <c r="E10" s="6">
        <v>2</v>
      </c>
      <c r="F10" s="6">
        <v>3</v>
      </c>
      <c r="G10" s="6">
        <v>4</v>
      </c>
      <c r="H10" s="6">
        <v>5</v>
      </c>
      <c r="I10" s="6">
        <v>6</v>
      </c>
      <c r="J10" s="6">
        <v>7</v>
      </c>
      <c r="K10" s="6">
        <v>8</v>
      </c>
      <c r="R10" t="s">
        <v>17</v>
      </c>
      <c r="S10">
        <f>ABS(S7-S8)</f>
        <v>10</v>
      </c>
      <c r="T10">
        <f t="shared" ref="T10" si="6">ABS(T7-T8)</f>
        <v>10</v>
      </c>
      <c r="U10">
        <f t="shared" ref="U10:Z10" si="7">ABS(U7-U8)</f>
        <v>10</v>
      </c>
      <c r="V10">
        <f t="shared" si="7"/>
        <v>10</v>
      </c>
      <c r="W10">
        <f t="shared" si="7"/>
        <v>10</v>
      </c>
      <c r="X10">
        <f t="shared" si="7"/>
        <v>10</v>
      </c>
      <c r="Y10">
        <f t="shared" si="7"/>
        <v>10</v>
      </c>
      <c r="Z10">
        <f t="shared" si="7"/>
        <v>8</v>
      </c>
      <c r="AB10">
        <f>MAX(S10:Z10)</f>
        <v>10</v>
      </c>
      <c r="AD10" t="str">
        <f>AD7</f>
        <v>Male</v>
      </c>
      <c r="AE10">
        <f t="shared" ref="AE10:AL10" si="8">((D10-$AN7)^2)*D7</f>
        <v>193.5802469135802</v>
      </c>
      <c r="AF10">
        <f t="shared" si="8"/>
        <v>44.567901234567884</v>
      </c>
      <c r="AG10">
        <f t="shared" si="8"/>
        <v>12.34567901234567</v>
      </c>
      <c r="AH10">
        <f t="shared" si="8"/>
        <v>0.12345679012345592</v>
      </c>
      <c r="AI10">
        <f t="shared" si="8"/>
        <v>7.9012345679012421</v>
      </c>
      <c r="AJ10">
        <f t="shared" si="8"/>
        <v>35.679012345679027</v>
      </c>
      <c r="AK10">
        <f t="shared" si="8"/>
        <v>83.456790123456813</v>
      </c>
      <c r="AL10">
        <f t="shared" si="8"/>
        <v>151.23456790123458</v>
      </c>
      <c r="AN10">
        <f>(SUM(AE10:AL10))/(AB7-1)</f>
        <v>5.9425717852684148</v>
      </c>
      <c r="AO10" s="5">
        <f>AN10^0.5</f>
        <v>2.4377390724333923</v>
      </c>
    </row>
    <row r="11" spans="1:42" x14ac:dyDescent="0.25">
      <c r="M11" t="s">
        <v>63</v>
      </c>
      <c r="O11" t="s">
        <v>65</v>
      </c>
      <c r="AD11" t="str">
        <f>AD8</f>
        <v>Female</v>
      </c>
      <c r="AE11">
        <f t="shared" ref="AE11:AL11" si="9">((D10-$AN8)^2)*D8</f>
        <v>128.54848304580605</v>
      </c>
      <c r="AF11">
        <f t="shared" si="9"/>
        <v>66.841165972635309</v>
      </c>
      <c r="AG11">
        <f t="shared" si="9"/>
        <v>25.133848899464596</v>
      </c>
      <c r="AH11">
        <f t="shared" si="9"/>
        <v>3.4265318262938682</v>
      </c>
      <c r="AI11">
        <f t="shared" si="9"/>
        <v>1.7192147531231441</v>
      </c>
      <c r="AJ11">
        <f t="shared" si="9"/>
        <v>20.011897679952423</v>
      </c>
      <c r="AK11">
        <f t="shared" si="9"/>
        <v>58.304580606781691</v>
      </c>
      <c r="AL11">
        <f t="shared" si="9"/>
        <v>139.91671624033319</v>
      </c>
      <c r="AN11">
        <f>(SUM(AE11:AL11))/(AB8-1)</f>
        <v>5.4802770249924722</v>
      </c>
      <c r="AO11" s="5">
        <f>AN11^0.5</f>
        <v>2.3409991510020829</v>
      </c>
    </row>
    <row r="12" spans="1:42" ht="17.25" customHeight="1" x14ac:dyDescent="0.25">
      <c r="A12" s="17"/>
      <c r="B12" s="17"/>
      <c r="C12" s="14" t="s">
        <v>19</v>
      </c>
      <c r="D12" s="14">
        <f>IF(AB7=AB8,AB10,AB16)</f>
        <v>0.10027100271002709</v>
      </c>
      <c r="E12" s="16"/>
      <c r="F12" s="16" t="s">
        <v>31</v>
      </c>
      <c r="G12" s="22">
        <f>IF(Y26&lt;1,Y26,"na")</f>
        <v>0.84396030329491456</v>
      </c>
      <c r="H12" s="30" t="s">
        <v>39</v>
      </c>
      <c r="I12" s="30"/>
      <c r="J12" s="30"/>
      <c r="K12" s="30"/>
      <c r="M12" t="s">
        <v>62</v>
      </c>
      <c r="N12" s="1">
        <f>IF(MIN(AB7:AB8)&gt;39,Z19,"na")</f>
        <v>0.20762275567019797</v>
      </c>
      <c r="O12" s="23" t="str">
        <f>IF(MIN(AB7:AB8)&gt;39,AA19,"na")</f>
        <v>No</v>
      </c>
      <c r="S12" s="4"/>
      <c r="T12" s="4"/>
      <c r="U12" s="4"/>
      <c r="V12" s="4"/>
      <c r="W12" s="4"/>
      <c r="X12" s="4"/>
      <c r="Y12" s="4"/>
      <c r="Z12" s="4"/>
    </row>
    <row r="13" spans="1:42" ht="15" customHeight="1" x14ac:dyDescent="0.25">
      <c r="A13" s="17"/>
      <c r="B13" s="17"/>
      <c r="F13" t="s">
        <v>35</v>
      </c>
      <c r="G13" s="20">
        <f>Y24</f>
        <v>0.42198015164745728</v>
      </c>
      <c r="H13" s="30"/>
      <c r="I13" s="30"/>
      <c r="J13" s="30"/>
      <c r="K13" s="30"/>
      <c r="M13" t="s">
        <v>64</v>
      </c>
      <c r="N13" s="1">
        <f>IF(MIN(AB7:AB8)&gt;39,Z20,"na")</f>
        <v>0.24884197922236961</v>
      </c>
      <c r="O13" s="23" t="str">
        <f>IF(MIN(AB7:AB8)&gt;39,AA20,"na")</f>
        <v>No</v>
      </c>
      <c r="R13" t="str">
        <f>B7</f>
        <v>Male</v>
      </c>
      <c r="S13">
        <f t="shared" ref="S13:X14" si="10">S7/$AB7</f>
        <v>0.22222222222222221</v>
      </c>
      <c r="T13">
        <f t="shared" si="10"/>
        <v>0.33333333333333331</v>
      </c>
      <c r="U13">
        <f t="shared" si="10"/>
        <v>0.44444444444444442</v>
      </c>
      <c r="V13">
        <f t="shared" si="10"/>
        <v>0.55555555555555558</v>
      </c>
      <c r="W13">
        <f t="shared" si="10"/>
        <v>0.66666666666666663</v>
      </c>
      <c r="X13">
        <f t="shared" si="10"/>
        <v>0.77777777777777779</v>
      </c>
      <c r="Y13">
        <f t="shared" ref="Y13:Z13" si="11">Y7/$AB7</f>
        <v>0.88888888888888884</v>
      </c>
      <c r="Z13">
        <f t="shared" si="11"/>
        <v>1</v>
      </c>
      <c r="AK13" t="s">
        <v>12</v>
      </c>
      <c r="AL13">
        <f>AP7-AP8</f>
        <v>0.4742547425474255</v>
      </c>
    </row>
    <row r="14" spans="1:42" ht="18.75" x14ac:dyDescent="0.3">
      <c r="A14" s="8" t="s">
        <v>20</v>
      </c>
      <c r="B14" s="8"/>
      <c r="C14" s="8" t="s">
        <v>21</v>
      </c>
      <c r="D14" s="21" t="str">
        <f>IF(AB7=AB8,D12/((AB7+AB8)/2),"Use Dmax")</f>
        <v>Use Dmax</v>
      </c>
      <c r="H14" s="30"/>
      <c r="I14" s="30"/>
      <c r="J14" s="30"/>
      <c r="K14" s="30"/>
      <c r="M14" t="s">
        <v>64</v>
      </c>
      <c r="N14" s="1">
        <f>IF(MIN(AB7:AB8)&gt;39,Z21,"na")</f>
        <v>0.29769439232123973</v>
      </c>
      <c r="O14" s="23" t="str">
        <f>IF(MIN(AB7:AB8)&gt;39,AA21,"na")</f>
        <v>No</v>
      </c>
      <c r="R14" t="str">
        <f>B8</f>
        <v>Female</v>
      </c>
      <c r="S14">
        <f t="shared" si="10"/>
        <v>0.12195121951219512</v>
      </c>
      <c r="T14">
        <f t="shared" si="10"/>
        <v>0.24390243902439024</v>
      </c>
      <c r="U14">
        <f t="shared" si="10"/>
        <v>0.36585365853658536</v>
      </c>
      <c r="V14">
        <f t="shared" si="10"/>
        <v>0.48780487804878048</v>
      </c>
      <c r="W14">
        <f t="shared" si="10"/>
        <v>0.6097560975609756</v>
      </c>
      <c r="X14">
        <f t="shared" si="10"/>
        <v>0.73170731707317072</v>
      </c>
      <c r="Y14">
        <f t="shared" ref="Y14:Z14" si="12">Y8/$AB8</f>
        <v>0.85365853658536583</v>
      </c>
      <c r="Z14">
        <f t="shared" si="12"/>
        <v>1</v>
      </c>
      <c r="AK14" t="s">
        <v>13</v>
      </c>
      <c r="AL14">
        <f>((AN10/AB7)+(AN11/AB8))^0.5</f>
        <v>0.36450133338318663</v>
      </c>
    </row>
    <row r="15" spans="1:42" ht="18.75" x14ac:dyDescent="0.3">
      <c r="A15" s="8"/>
      <c r="B15" s="8"/>
      <c r="C15" s="8"/>
      <c r="D15" s="8"/>
      <c r="AB15" t="s">
        <v>18</v>
      </c>
      <c r="AK15" t="s">
        <v>14</v>
      </c>
      <c r="AL15" s="15">
        <f>AL13/AL14</f>
        <v>1.3011056451989964</v>
      </c>
    </row>
    <row r="16" spans="1:42" x14ac:dyDescent="0.25">
      <c r="A16" s="30" t="str">
        <f>IF(MIN(AB7:AB8)&lt;50,"Your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0.10027100271002709</v>
      </c>
      <c r="T16">
        <f t="shared" ref="T16:Z16" si="13">ABS(T13-T14)</f>
        <v>8.9430894308943076E-2</v>
      </c>
      <c r="U16">
        <f t="shared" si="13"/>
        <v>7.8590785907859062E-2</v>
      </c>
      <c r="V16">
        <f t="shared" si="13"/>
        <v>6.7750677506775103E-2</v>
      </c>
      <c r="W16">
        <f t="shared" si="13"/>
        <v>5.6910569105691033E-2</v>
      </c>
      <c r="X16">
        <f t="shared" si="13"/>
        <v>4.6070460704607075E-2</v>
      </c>
      <c r="Y16">
        <f t="shared" si="13"/>
        <v>3.5230352303523005E-2</v>
      </c>
      <c r="Z16">
        <f t="shared" si="13"/>
        <v>0</v>
      </c>
      <c r="AB16">
        <f>MAX(S16:Z16)</f>
        <v>0.10027100271002709</v>
      </c>
      <c r="AK16" t="s">
        <v>0</v>
      </c>
      <c r="AL16">
        <f>AB7+AB8-2</f>
        <v>170</v>
      </c>
    </row>
    <row r="17" spans="1:37" x14ac:dyDescent="0.25">
      <c r="A17" s="30"/>
      <c r="B17" s="30"/>
      <c r="C17" s="30"/>
      <c r="D17" s="30"/>
      <c r="AI17" t="s">
        <v>31</v>
      </c>
      <c r="AJ17">
        <f>_xlfn.T.DIST.2T(AL15,AL16)</f>
        <v>0.19498299310911049</v>
      </c>
    </row>
    <row r="18" spans="1:37" x14ac:dyDescent="0.25">
      <c r="A18" s="30"/>
      <c r="B18" s="30"/>
      <c r="C18" s="30"/>
      <c r="D18" s="30"/>
      <c r="X18" t="s">
        <v>25</v>
      </c>
      <c r="Z18">
        <f>((AB7+AB8)/(AB7*AB8))^0.5</f>
        <v>0.15266379093396909</v>
      </c>
      <c r="AI18" t="s">
        <v>35</v>
      </c>
      <c r="AJ18">
        <f>AJ17/2</f>
        <v>9.7491496554555246E-2</v>
      </c>
    </row>
    <row r="19" spans="1:37" x14ac:dyDescent="0.25">
      <c r="X19">
        <v>0.05</v>
      </c>
      <c r="Y19">
        <v>1.36</v>
      </c>
      <c r="Z19">
        <f>Y19*Z18</f>
        <v>0.20762275567019797</v>
      </c>
      <c r="AA19" t="str">
        <f>IF(AB16&gt;Z19,"Yes","No")</f>
        <v>No</v>
      </c>
      <c r="AI19" t="s">
        <v>36</v>
      </c>
      <c r="AJ19">
        <f>_xlfn.NORM.S.INV(AJ18)</f>
        <v>-1.2959782071169792</v>
      </c>
    </row>
    <row r="20" spans="1:37" ht="18.75" x14ac:dyDescent="0.3">
      <c r="A20" s="10" t="s">
        <v>22</v>
      </c>
      <c r="B20" s="10"/>
      <c r="C20" s="8" t="s">
        <v>26</v>
      </c>
      <c r="D20" s="7">
        <f>IF(MIN(AB7:AB8)&gt;24,AL15,"na")</f>
        <v>1.3011056451989964</v>
      </c>
      <c r="X20">
        <v>0.01</v>
      </c>
      <c r="Y20">
        <v>1.63</v>
      </c>
      <c r="Z20">
        <f>Y20*Z18</f>
        <v>0.24884197922236961</v>
      </c>
      <c r="AA20" t="str">
        <f>IF(AB16&gt;Z20,"Yes","No")</f>
        <v>No</v>
      </c>
      <c r="AI20" t="s">
        <v>37</v>
      </c>
      <c r="AJ20">
        <f>AJ19/((AB7+AB8)^0.5)</f>
        <v>-9.8817411883775783E-2</v>
      </c>
    </row>
    <row r="21" spans="1:37" ht="18.75" x14ac:dyDescent="0.3">
      <c r="A21" s="10"/>
      <c r="B21" s="10" t="s">
        <v>23</v>
      </c>
      <c r="C21" s="8" t="s">
        <v>25</v>
      </c>
      <c r="D21" s="7">
        <f>IF(MIN(AB7:AB8)&gt;24,AJ17,"na")</f>
        <v>0.19498299310911049</v>
      </c>
      <c r="X21">
        <v>1E-3</v>
      </c>
      <c r="Y21">
        <v>1.95</v>
      </c>
      <c r="Z21">
        <f>Y21*Z18</f>
        <v>0.29769439232123973</v>
      </c>
      <c r="AA21" t="str">
        <f>IF(AB16&gt;Z21,"Yes","No")</f>
        <v>No</v>
      </c>
      <c r="AI21" t="s">
        <v>40</v>
      </c>
      <c r="AJ21">
        <f>(MAX(AN10:AN11))/(MIN(AN10:AN11))</f>
        <v>1.0843560933448575</v>
      </c>
    </row>
    <row r="22" spans="1:37" ht="18.75" x14ac:dyDescent="0.3">
      <c r="A22" s="10"/>
      <c r="B22" s="10" t="s">
        <v>24</v>
      </c>
      <c r="C22" s="8" t="s">
        <v>25</v>
      </c>
      <c r="D22" s="7">
        <f>IF(MIN(AB7:AB8)&gt;24,D21/2,"na")</f>
        <v>9.7491496554555246E-2</v>
      </c>
      <c r="AJ22" t="s">
        <v>44</v>
      </c>
      <c r="AK22" t="s">
        <v>45</v>
      </c>
    </row>
    <row r="23" spans="1:37" x14ac:dyDescent="0.25">
      <c r="X23" t="s">
        <v>32</v>
      </c>
      <c r="Y23">
        <f>(4*(AB16^2))</f>
        <v>4.0217095937897039E-2</v>
      </c>
      <c r="Z23">
        <f>(AB7*AB8)/(AB7+AB8)</f>
        <v>42.906976744186046</v>
      </c>
      <c r="AA23">
        <f>Y23*Z23</f>
        <v>1.7255940001260475</v>
      </c>
      <c r="AI23" t="s">
        <v>42</v>
      </c>
      <c r="AJ23">
        <f>_xlfn.F.INV.RT(0.025,MAX(AB7:AB8)-1,MIN(AB7:AB8)-1)</f>
        <v>1.5383528847401213</v>
      </c>
      <c r="AK23">
        <f>_xlfn.F.INV.RT(0.05,MAX(AB7:AB8)-1,MIN(AB7:AB8)-1)</f>
        <v>1.4347442071275105</v>
      </c>
    </row>
    <row r="24" spans="1:37" ht="15.75" x14ac:dyDescent="0.25">
      <c r="B24" s="7" t="s">
        <v>27</v>
      </c>
      <c r="C24" s="7" t="s">
        <v>28</v>
      </c>
      <c r="X24" t="s">
        <v>33</v>
      </c>
      <c r="Y24">
        <f>_xlfn.CHISQ.DIST.RT(AA23,2)</f>
        <v>0.42198015164745728</v>
      </c>
      <c r="AI24" t="s">
        <v>43</v>
      </c>
      <c r="AJ24">
        <f>_xlfn.F.INV.RT(0.005,MAX(AB7:AB8)-1,MIN(AB7:AB8)-1)</f>
        <v>1.7646851785924658</v>
      </c>
      <c r="AK24">
        <f>_xlfn.F.INV.RT(0.01,MAX(AB7:AB8)-1,MIN(AB7:AB8)-1)</f>
        <v>1.6689567006324837</v>
      </c>
    </row>
    <row r="25" spans="1:37" ht="15.75" x14ac:dyDescent="0.25">
      <c r="A25" s="7" t="str">
        <f>B7</f>
        <v>Male</v>
      </c>
      <c r="B25">
        <f>AN7</f>
        <v>4.1111111111111107</v>
      </c>
      <c r="C25" s="5">
        <f>AO10</f>
        <v>2.4377390724333923</v>
      </c>
    </row>
    <row r="26" spans="1:37" ht="15.75" x14ac:dyDescent="0.25">
      <c r="A26" s="7" t="str">
        <f>B8</f>
        <v>Female</v>
      </c>
      <c r="B26">
        <f>AN8</f>
        <v>4.5853658536585362</v>
      </c>
      <c r="C26" s="5">
        <f>AO11</f>
        <v>2.3409991510020829</v>
      </c>
      <c r="X26" t="s">
        <v>34</v>
      </c>
      <c r="Y26">
        <f>Y24*2</f>
        <v>0.84396030329491456</v>
      </c>
    </row>
    <row r="28" spans="1:37" x14ac:dyDescent="0.25">
      <c r="A28" t="s">
        <v>38</v>
      </c>
      <c r="C28">
        <f>ABS(AJ20)</f>
        <v>9.8817411883775783E-2</v>
      </c>
    </row>
    <row r="30" spans="1:37" x14ac:dyDescent="0.25">
      <c r="D30" t="s">
        <v>31</v>
      </c>
      <c r="E30" t="s">
        <v>35</v>
      </c>
    </row>
    <row r="31" spans="1:37" x14ac:dyDescent="0.25">
      <c r="A31" t="s">
        <v>41</v>
      </c>
      <c r="C31">
        <f>AJ21</f>
        <v>1.0843560933448575</v>
      </c>
      <c r="D31" t="str">
        <f>IF(C31&lt;AJ23,"p &gt; 0.05","p&lt;0.05")</f>
        <v>p &gt; 0.05</v>
      </c>
      <c r="E31" t="str">
        <f>IF(C31&lt;AK23,"p &gt; 0.05","p&lt;0.05")</f>
        <v>p &gt; 0.05</v>
      </c>
    </row>
    <row r="32" spans="1:37" x14ac:dyDescent="0.25">
      <c r="D32" t="str">
        <f>IF(C31&lt;AJ24,"p &gt; 0.01","p&lt;0.01")</f>
        <v>p &gt; 0.01</v>
      </c>
      <c r="E32" t="str">
        <f>IF(C31&lt;AK24,"p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R32"/>
  <sheetViews>
    <sheetView workbookViewId="0">
      <selection activeCell="E24" sqref="E24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44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44" x14ac:dyDescent="0.25">
      <c r="B3" s="30"/>
      <c r="C3" s="30"/>
      <c r="D3" s="30"/>
      <c r="E3" s="30"/>
      <c r="F3" s="30"/>
      <c r="G3" s="30"/>
      <c r="H3" s="30"/>
      <c r="I3" s="30"/>
    </row>
    <row r="4" spans="1:44" x14ac:dyDescent="0.25">
      <c r="R4" t="s">
        <v>29</v>
      </c>
    </row>
    <row r="5" spans="1:44" ht="15.75" customHeight="1" thickBot="1" x14ac:dyDescent="0.3"/>
    <row r="6" spans="1:44" ht="19.5" thickBot="1" x14ac:dyDescent="0.3">
      <c r="C6" s="11"/>
      <c r="D6" s="2" t="s">
        <v>47</v>
      </c>
      <c r="E6" s="2" t="s">
        <v>53</v>
      </c>
      <c r="F6" s="2" t="s">
        <v>54</v>
      </c>
      <c r="G6" s="2" t="s">
        <v>48</v>
      </c>
      <c r="H6" s="2" t="s">
        <v>55</v>
      </c>
      <c r="I6" s="2" t="s">
        <v>66</v>
      </c>
      <c r="J6" s="2" t="s">
        <v>67</v>
      </c>
      <c r="K6" s="2" t="s">
        <v>68</v>
      </c>
      <c r="L6" s="2" t="s">
        <v>69</v>
      </c>
      <c r="N6" s="9" t="s">
        <v>7</v>
      </c>
      <c r="O6" s="9"/>
      <c r="P6" s="9"/>
      <c r="Q6" s="13"/>
      <c r="S6" s="4" t="str">
        <f t="shared" ref="S6:X6" si="0">D6</f>
        <v>A</v>
      </c>
      <c r="T6" s="4" t="str">
        <f t="shared" si="0"/>
        <v>B</v>
      </c>
      <c r="U6" s="4" t="str">
        <f t="shared" si="0"/>
        <v>C</v>
      </c>
      <c r="V6" s="4" t="str">
        <f t="shared" si="0"/>
        <v>D</v>
      </c>
      <c r="W6" s="4" t="str">
        <f t="shared" si="0"/>
        <v>E</v>
      </c>
      <c r="X6" s="4" t="str">
        <f t="shared" si="0"/>
        <v>F</v>
      </c>
      <c r="Y6" s="4" t="str">
        <f t="shared" ref="Y6:AA6" si="1">J6</f>
        <v>G</v>
      </c>
      <c r="Z6" s="4" t="str">
        <f t="shared" si="1"/>
        <v>H</v>
      </c>
      <c r="AA6" s="4" t="str">
        <f t="shared" si="1"/>
        <v>I</v>
      </c>
      <c r="AB6" s="4"/>
      <c r="AC6" s="2" t="s">
        <v>7</v>
      </c>
      <c r="AD6" s="4"/>
      <c r="AF6" s="4" t="str">
        <f>D6</f>
        <v>A</v>
      </c>
      <c r="AG6" s="4" t="str">
        <f>E6</f>
        <v>B</v>
      </c>
      <c r="AH6" s="4" t="str">
        <f>F6</f>
        <v>C</v>
      </c>
      <c r="AI6" s="4" t="str">
        <f t="shared" ref="AI6:AN6" si="2">G6</f>
        <v>D</v>
      </c>
      <c r="AJ6" s="4" t="str">
        <f t="shared" si="2"/>
        <v>E</v>
      </c>
      <c r="AK6" s="4" t="str">
        <f t="shared" si="2"/>
        <v>F</v>
      </c>
      <c r="AL6" s="4" t="str">
        <f t="shared" si="2"/>
        <v>G</v>
      </c>
      <c r="AM6" s="4" t="str">
        <f t="shared" si="2"/>
        <v>H</v>
      </c>
      <c r="AN6" s="4" t="str">
        <f t="shared" si="2"/>
        <v>I</v>
      </c>
      <c r="AP6" t="s">
        <v>9</v>
      </c>
    </row>
    <row r="7" spans="1:44" ht="19.5" thickBot="1" x14ac:dyDescent="0.3">
      <c r="B7" s="33" t="s">
        <v>51</v>
      </c>
      <c r="C7" s="34"/>
      <c r="D7" s="12">
        <v>5</v>
      </c>
      <c r="E7" s="12">
        <v>16</v>
      </c>
      <c r="F7" s="12">
        <v>27</v>
      </c>
      <c r="G7" s="12">
        <v>14</v>
      </c>
      <c r="H7" s="12">
        <v>6</v>
      </c>
      <c r="I7" s="12">
        <v>2</v>
      </c>
      <c r="J7" s="12">
        <v>8</v>
      </c>
      <c r="K7" s="12">
        <v>2</v>
      </c>
      <c r="L7" s="12">
        <v>0</v>
      </c>
      <c r="N7">
        <f>SUM(D7:L7)</f>
        <v>80</v>
      </c>
      <c r="Q7" s="13"/>
      <c r="R7" t="str">
        <f>B7</f>
        <v>Male</v>
      </c>
      <c r="S7">
        <f>D7</f>
        <v>5</v>
      </c>
      <c r="T7">
        <f t="shared" ref="T7:X8" si="3">E7+S7</f>
        <v>21</v>
      </c>
      <c r="U7">
        <f t="shared" si="3"/>
        <v>48</v>
      </c>
      <c r="V7">
        <f t="shared" si="3"/>
        <v>62</v>
      </c>
      <c r="W7">
        <f t="shared" si="3"/>
        <v>68</v>
      </c>
      <c r="X7">
        <f t="shared" si="3"/>
        <v>70</v>
      </c>
      <c r="Y7">
        <f t="shared" ref="Y7:AA7" si="4">J7+X7</f>
        <v>78</v>
      </c>
      <c r="Z7">
        <f t="shared" si="4"/>
        <v>80</v>
      </c>
      <c r="AA7">
        <f t="shared" si="4"/>
        <v>80</v>
      </c>
      <c r="AC7" s="3">
        <f>SUM(D7:L7)</f>
        <v>80</v>
      </c>
      <c r="AE7" t="str">
        <f>B7</f>
        <v>Male</v>
      </c>
      <c r="AF7">
        <f>D7*D10</f>
        <v>45</v>
      </c>
      <c r="AG7">
        <f>E7*E10</f>
        <v>128</v>
      </c>
      <c r="AH7">
        <f>F7*F10</f>
        <v>189</v>
      </c>
      <c r="AI7">
        <f t="shared" ref="AI7:AN7" si="5">G7*G10</f>
        <v>84</v>
      </c>
      <c r="AJ7">
        <f t="shared" si="5"/>
        <v>30</v>
      </c>
      <c r="AK7">
        <f t="shared" si="5"/>
        <v>8</v>
      </c>
      <c r="AL7">
        <f t="shared" si="5"/>
        <v>24</v>
      </c>
      <c r="AM7">
        <f t="shared" si="5"/>
        <v>4</v>
      </c>
      <c r="AN7">
        <f t="shared" si="5"/>
        <v>0</v>
      </c>
      <c r="AP7">
        <f>SUM(AF7:AN7)/AC7</f>
        <v>6.4</v>
      </c>
      <c r="AQ7" t="s">
        <v>15</v>
      </c>
      <c r="AR7">
        <f>MAX(AP7:AP8)</f>
        <v>6.4</v>
      </c>
    </row>
    <row r="8" spans="1:44" ht="19.5" thickBot="1" x14ac:dyDescent="0.3">
      <c r="B8" s="33" t="s">
        <v>52</v>
      </c>
      <c r="C8" s="34"/>
      <c r="D8" s="12">
        <v>2</v>
      </c>
      <c r="E8" s="12">
        <v>6</v>
      </c>
      <c r="F8" s="12">
        <v>12</v>
      </c>
      <c r="G8" s="12">
        <v>27</v>
      </c>
      <c r="H8" s="12">
        <v>14</v>
      </c>
      <c r="I8" s="12">
        <v>7</v>
      </c>
      <c r="J8" s="12">
        <v>8</v>
      </c>
      <c r="K8" s="12">
        <v>3</v>
      </c>
      <c r="L8" s="12">
        <v>1</v>
      </c>
      <c r="N8">
        <f>SUM(D8:L8)</f>
        <v>80</v>
      </c>
      <c r="Q8" s="13"/>
      <c r="R8" t="str">
        <f>B8</f>
        <v>Female</v>
      </c>
      <c r="S8">
        <f>D8</f>
        <v>2</v>
      </c>
      <c r="T8">
        <f t="shared" si="3"/>
        <v>8</v>
      </c>
      <c r="U8">
        <f t="shared" si="3"/>
        <v>20</v>
      </c>
      <c r="V8">
        <f t="shared" si="3"/>
        <v>47</v>
      </c>
      <c r="W8">
        <f t="shared" si="3"/>
        <v>61</v>
      </c>
      <c r="X8">
        <f t="shared" si="3"/>
        <v>68</v>
      </c>
      <c r="Y8">
        <f t="shared" ref="Y8:AA8" si="6">J8+X8</f>
        <v>76</v>
      </c>
      <c r="Z8">
        <f t="shared" si="6"/>
        <v>79</v>
      </c>
      <c r="AA8">
        <f t="shared" si="6"/>
        <v>80</v>
      </c>
      <c r="AC8" s="3">
        <f>SUM(D8:L8)</f>
        <v>80</v>
      </c>
      <c r="AE8" t="str">
        <f>B8</f>
        <v>Female</v>
      </c>
      <c r="AF8">
        <f>D8*D10</f>
        <v>18</v>
      </c>
      <c r="AG8">
        <f>E8*E10</f>
        <v>48</v>
      </c>
      <c r="AH8">
        <f>F8*F10</f>
        <v>84</v>
      </c>
      <c r="AI8">
        <f t="shared" ref="AI8:AN8" si="7">G8*G10</f>
        <v>162</v>
      </c>
      <c r="AJ8">
        <f t="shared" si="7"/>
        <v>70</v>
      </c>
      <c r="AK8">
        <f t="shared" si="7"/>
        <v>28</v>
      </c>
      <c r="AL8">
        <f t="shared" si="7"/>
        <v>24</v>
      </c>
      <c r="AM8">
        <f t="shared" si="7"/>
        <v>6</v>
      </c>
      <c r="AN8">
        <f t="shared" si="7"/>
        <v>1</v>
      </c>
      <c r="AP8">
        <f>SUM(AF8:AN8)/AC8</f>
        <v>5.5125000000000002</v>
      </c>
      <c r="AQ8" t="s">
        <v>16</v>
      </c>
      <c r="AR8">
        <f>MIN(AP7:AP8)</f>
        <v>5.5125000000000002</v>
      </c>
    </row>
    <row r="9" spans="1:44" x14ac:dyDescent="0.25">
      <c r="AC9" t="s">
        <v>18</v>
      </c>
      <c r="AP9" t="s">
        <v>10</v>
      </c>
      <c r="AQ9" t="s">
        <v>11</v>
      </c>
    </row>
    <row r="10" spans="1:44" ht="18.75" x14ac:dyDescent="0.3">
      <c r="B10" s="8" t="s">
        <v>8</v>
      </c>
      <c r="D10" s="6">
        <v>9</v>
      </c>
      <c r="E10" s="6">
        <v>8</v>
      </c>
      <c r="F10" s="6">
        <v>7</v>
      </c>
      <c r="G10" s="6">
        <v>6</v>
      </c>
      <c r="H10" s="6">
        <v>5</v>
      </c>
      <c r="I10" s="6">
        <v>4</v>
      </c>
      <c r="J10" s="6">
        <v>3</v>
      </c>
      <c r="K10" s="6">
        <v>2</v>
      </c>
      <c r="L10" s="6">
        <v>1</v>
      </c>
      <c r="R10" t="s">
        <v>17</v>
      </c>
      <c r="S10">
        <f>ABS(S7-S8)</f>
        <v>3</v>
      </c>
      <c r="T10">
        <f t="shared" ref="T10:X10" si="8">ABS(T7-T8)</f>
        <v>13</v>
      </c>
      <c r="U10">
        <f t="shared" si="8"/>
        <v>28</v>
      </c>
      <c r="V10">
        <f t="shared" si="8"/>
        <v>15</v>
      </c>
      <c r="W10">
        <f t="shared" si="8"/>
        <v>7</v>
      </c>
      <c r="X10">
        <f t="shared" si="8"/>
        <v>2</v>
      </c>
      <c r="Y10">
        <f t="shared" ref="Y10:AA10" si="9">ABS(Y7-Y8)</f>
        <v>2</v>
      </c>
      <c r="Z10">
        <f t="shared" si="9"/>
        <v>1</v>
      </c>
      <c r="AA10">
        <f t="shared" si="9"/>
        <v>0</v>
      </c>
      <c r="AC10">
        <f>MAX(S10:AA10)</f>
        <v>28</v>
      </c>
      <c r="AE10" t="str">
        <f>AE7</f>
        <v>Male</v>
      </c>
      <c r="AF10">
        <f>((D10-$AP7)^2)*D7</f>
        <v>33.79999999999999</v>
      </c>
      <c r="AG10">
        <f>((E10-$AP7)^2)*E7</f>
        <v>40.95999999999998</v>
      </c>
      <c r="AH10">
        <f>((F10-$AP7)^2)*F7</f>
        <v>9.71999999999999</v>
      </c>
      <c r="AI10">
        <f t="shared" ref="AI10:AN10" si="10">((G10-$AP7)^2)*G7</f>
        <v>2.2400000000000038</v>
      </c>
      <c r="AJ10">
        <f t="shared" si="10"/>
        <v>11.760000000000007</v>
      </c>
      <c r="AK10">
        <f t="shared" si="10"/>
        <v>11.520000000000003</v>
      </c>
      <c r="AL10">
        <f t="shared" si="10"/>
        <v>92.480000000000018</v>
      </c>
      <c r="AM10">
        <f t="shared" si="10"/>
        <v>38.720000000000006</v>
      </c>
      <c r="AN10">
        <f t="shared" si="10"/>
        <v>0</v>
      </c>
      <c r="AP10">
        <f>(SUM(AF10:AN10))/(AC7-1)</f>
        <v>3.0531645569620252</v>
      </c>
      <c r="AQ10" s="5">
        <f>AP10^0.5</f>
        <v>1.7473306947919232</v>
      </c>
    </row>
    <row r="11" spans="1:44" x14ac:dyDescent="0.25">
      <c r="M11" t="s">
        <v>63</v>
      </c>
      <c r="O11" t="s">
        <v>65</v>
      </c>
      <c r="AE11" t="str">
        <f>AE8</f>
        <v>Female</v>
      </c>
      <c r="AF11">
        <f>((D10-$AP8)^2)*D8</f>
        <v>24.325312499999999</v>
      </c>
      <c r="AG11">
        <f>((E10-$AP8)^2)*E8</f>
        <v>37.125937499999992</v>
      </c>
      <c r="AH11">
        <f>((F10-$AP8)^2)*F8</f>
        <v>26.551874999999992</v>
      </c>
      <c r="AI11">
        <f t="shared" ref="AI11:AN11" si="11">((G10-$AP8)^2)*G8</f>
        <v>6.4167187499999949</v>
      </c>
      <c r="AJ11">
        <f t="shared" si="11"/>
        <v>3.6771875000000027</v>
      </c>
      <c r="AK11">
        <f t="shared" si="11"/>
        <v>16.013593750000002</v>
      </c>
      <c r="AL11">
        <f t="shared" si="11"/>
        <v>50.501250000000006</v>
      </c>
      <c r="AM11">
        <f t="shared" si="11"/>
        <v>37.012968750000006</v>
      </c>
      <c r="AN11">
        <f t="shared" si="11"/>
        <v>20.362656250000001</v>
      </c>
      <c r="AP11">
        <f>(SUM(AF11:AN11))/(AC8-1)</f>
        <v>2.8099683544303797</v>
      </c>
      <c r="AQ11" s="5">
        <f>AP11^0.5</f>
        <v>1.6762960223153844</v>
      </c>
    </row>
    <row r="12" spans="1:44" ht="17.25" customHeight="1" x14ac:dyDescent="0.25">
      <c r="A12" s="17"/>
      <c r="B12" s="17"/>
      <c r="C12" s="14" t="s">
        <v>19</v>
      </c>
      <c r="D12" s="14">
        <f>IF(AC7=AC8,AC10,AC16)</f>
        <v>28</v>
      </c>
      <c r="E12" s="16"/>
      <c r="F12" s="16" t="s">
        <v>31</v>
      </c>
      <c r="G12" s="22">
        <f>IF(Y26&lt;1,Y26,"na")</f>
        <v>1.1090319886435408E-4</v>
      </c>
      <c r="H12" s="30" t="s">
        <v>39</v>
      </c>
      <c r="I12" s="30"/>
      <c r="J12" s="30"/>
      <c r="K12" s="30"/>
      <c r="M12" t="s">
        <v>62</v>
      </c>
      <c r="N12" s="1">
        <f>IF(MIN(AC7:AC8)&gt;39,Z19,"na")</f>
        <v>0.21503488089144981</v>
      </c>
      <c r="O12" s="23" t="str">
        <f>IF(MIN(AC7:AC8)&gt;39,AA19,"na")</f>
        <v>Yes</v>
      </c>
      <c r="S12" s="4"/>
      <c r="T12" s="4"/>
      <c r="U12" s="4"/>
      <c r="V12" s="4"/>
      <c r="W12" s="4"/>
      <c r="X12" s="4"/>
      <c r="Y12" s="4"/>
      <c r="Z12" s="4"/>
      <c r="AA12" s="4"/>
    </row>
    <row r="13" spans="1:44" ht="15" customHeight="1" x14ac:dyDescent="0.25">
      <c r="A13" s="17"/>
      <c r="B13" s="17"/>
      <c r="F13" t="s">
        <v>35</v>
      </c>
      <c r="G13" s="20">
        <f>Y24</f>
        <v>5.545159943217704E-5</v>
      </c>
      <c r="H13" s="30"/>
      <c r="I13" s="30"/>
      <c r="J13" s="30"/>
      <c r="K13" s="30"/>
      <c r="M13" t="s">
        <v>64</v>
      </c>
      <c r="N13" s="1">
        <f>IF(MIN(AC7:AC8)&gt;39,Z20,"na")</f>
        <v>0.25772562930372289</v>
      </c>
      <c r="O13" s="23" t="str">
        <f>IF(MIN(AC7:AC8)&gt;39,AA20,"na")</f>
        <v>Yes</v>
      </c>
      <c r="R13" t="str">
        <f>B7</f>
        <v>Male</v>
      </c>
      <c r="S13">
        <f t="shared" ref="S13:X14" si="12">S7/$AC7</f>
        <v>6.25E-2</v>
      </c>
      <c r="T13">
        <f t="shared" si="12"/>
        <v>0.26250000000000001</v>
      </c>
      <c r="U13">
        <f t="shared" si="12"/>
        <v>0.6</v>
      </c>
      <c r="V13">
        <f t="shared" si="12"/>
        <v>0.77500000000000002</v>
      </c>
      <c r="W13">
        <f t="shared" si="12"/>
        <v>0.85</v>
      </c>
      <c r="X13">
        <f t="shared" si="12"/>
        <v>0.875</v>
      </c>
      <c r="Y13">
        <f t="shared" ref="Y13:AA13" si="13">Y7/$AC7</f>
        <v>0.97499999999999998</v>
      </c>
      <c r="Z13">
        <f t="shared" si="13"/>
        <v>1</v>
      </c>
      <c r="AA13">
        <f t="shared" si="13"/>
        <v>1</v>
      </c>
      <c r="AL13" t="s">
        <v>12</v>
      </c>
      <c r="AM13">
        <f>AR7-AR8</f>
        <v>0.88750000000000018</v>
      </c>
    </row>
    <row r="14" spans="1:44" ht="18.75" x14ac:dyDescent="0.3">
      <c r="A14" s="8" t="s">
        <v>20</v>
      </c>
      <c r="B14" s="8"/>
      <c r="C14" s="8" t="s">
        <v>21</v>
      </c>
      <c r="D14" s="21">
        <f>IF(AC7=AC8,D12/((AC7+AC8)/2),"Use Dmax")</f>
        <v>0.35</v>
      </c>
      <c r="H14" s="30"/>
      <c r="I14" s="30"/>
      <c r="J14" s="30"/>
      <c r="K14" s="30"/>
      <c r="M14" t="s">
        <v>64</v>
      </c>
      <c r="N14" s="1">
        <f>IF(MIN(AC7:AC8)&gt;39,Z21,"na")</f>
        <v>0.30832207186641697</v>
      </c>
      <c r="O14" s="23" t="str">
        <f>IF(MIN(AC7:AC8)&gt;39,AA21,"na")</f>
        <v>Yes</v>
      </c>
      <c r="R14" t="str">
        <f>B8</f>
        <v>Female</v>
      </c>
      <c r="S14">
        <f t="shared" si="12"/>
        <v>2.5000000000000001E-2</v>
      </c>
      <c r="T14">
        <f t="shared" si="12"/>
        <v>0.1</v>
      </c>
      <c r="U14">
        <f t="shared" si="12"/>
        <v>0.25</v>
      </c>
      <c r="V14">
        <f t="shared" si="12"/>
        <v>0.58750000000000002</v>
      </c>
      <c r="W14">
        <f t="shared" si="12"/>
        <v>0.76249999999999996</v>
      </c>
      <c r="X14">
        <f t="shared" si="12"/>
        <v>0.85</v>
      </c>
      <c r="Y14">
        <f t="shared" ref="Y14:AA14" si="14">Y8/$AC8</f>
        <v>0.95</v>
      </c>
      <c r="Z14">
        <f t="shared" si="14"/>
        <v>0.98750000000000004</v>
      </c>
      <c r="AA14">
        <f t="shared" si="14"/>
        <v>1</v>
      </c>
      <c r="AL14" t="s">
        <v>13</v>
      </c>
      <c r="AM14">
        <f>((AP10/AC7)+(AP11/AC8))^0.5</f>
        <v>0.27071971001832335</v>
      </c>
    </row>
    <row r="15" spans="1:44" ht="18.75" x14ac:dyDescent="0.3">
      <c r="A15" s="8"/>
      <c r="B15" s="8"/>
      <c r="C15" s="8"/>
      <c r="D15" s="8"/>
      <c r="AC15" t="s">
        <v>18</v>
      </c>
      <c r="AL15" t="s">
        <v>14</v>
      </c>
      <c r="AM15" s="15">
        <f>AM13/AM14</f>
        <v>3.2782984288064241</v>
      </c>
    </row>
    <row r="16" spans="1:44" x14ac:dyDescent="0.25">
      <c r="A16" s="30" t="str">
        <f>IF(MIN(AC7:AC8)&lt;50,"Your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3.7499999999999999E-2</v>
      </c>
      <c r="T16">
        <f t="shared" ref="T16:X16" si="15">ABS(T13-T14)</f>
        <v>0.16250000000000001</v>
      </c>
      <c r="U16">
        <f t="shared" si="15"/>
        <v>0.35</v>
      </c>
      <c r="V16">
        <f t="shared" si="15"/>
        <v>0.1875</v>
      </c>
      <c r="W16">
        <f t="shared" si="15"/>
        <v>8.7500000000000022E-2</v>
      </c>
      <c r="X16">
        <f t="shared" si="15"/>
        <v>2.5000000000000022E-2</v>
      </c>
      <c r="Y16">
        <f t="shared" ref="Y16:AA16" si="16">ABS(Y13-Y14)</f>
        <v>2.5000000000000022E-2</v>
      </c>
      <c r="Z16">
        <f t="shared" si="16"/>
        <v>1.2499999999999956E-2</v>
      </c>
      <c r="AA16">
        <f t="shared" si="16"/>
        <v>0</v>
      </c>
      <c r="AC16">
        <f>MAX(S16:AA16)</f>
        <v>0.35</v>
      </c>
      <c r="AL16" t="s">
        <v>0</v>
      </c>
      <c r="AM16">
        <f>AC7+AC8-2</f>
        <v>158</v>
      </c>
    </row>
    <row r="17" spans="1:37" x14ac:dyDescent="0.25">
      <c r="A17" s="30"/>
      <c r="B17" s="30"/>
      <c r="C17" s="30"/>
      <c r="D17" s="30"/>
      <c r="AI17" t="s">
        <v>31</v>
      </c>
      <c r="AJ17">
        <f>_xlfn.T.DIST.2T(AM15,AM16)</f>
        <v>1.2843897546407556E-3</v>
      </c>
    </row>
    <row r="18" spans="1:37" x14ac:dyDescent="0.25">
      <c r="A18" s="30"/>
      <c r="B18" s="30"/>
      <c r="C18" s="30"/>
      <c r="D18" s="30"/>
      <c r="X18" t="s">
        <v>25</v>
      </c>
      <c r="Z18">
        <f>((AC7+AC8)/(AC7*AC8))^0.5</f>
        <v>0.15811388300841897</v>
      </c>
      <c r="AI18" t="s">
        <v>35</v>
      </c>
      <c r="AJ18">
        <f>AJ17/2</f>
        <v>6.4219487732037782E-4</v>
      </c>
    </row>
    <row r="19" spans="1:37" x14ac:dyDescent="0.25">
      <c r="X19">
        <v>0.05</v>
      </c>
      <c r="Y19">
        <v>1.36</v>
      </c>
      <c r="Z19">
        <f>Y19*Z18</f>
        <v>0.21503488089144981</v>
      </c>
      <c r="AA19" t="str">
        <f>IF(AC16&gt;Z19,"Yes","No")</f>
        <v>Yes</v>
      </c>
      <c r="AI19" t="s">
        <v>36</v>
      </c>
      <c r="AJ19">
        <f>_xlfn.NORM.S.INV(AJ18)</f>
        <v>-3.2194450476033394</v>
      </c>
    </row>
    <row r="20" spans="1:37" ht="18.75" x14ac:dyDescent="0.3">
      <c r="A20" s="10" t="s">
        <v>22</v>
      </c>
      <c r="B20" s="10"/>
      <c r="C20" s="8" t="s">
        <v>26</v>
      </c>
      <c r="D20" s="7">
        <f>IF(MIN(AC7:AC8)&gt;24,AM15,"na")</f>
        <v>3.2782984288064241</v>
      </c>
      <c r="X20">
        <v>0.01</v>
      </c>
      <c r="Y20">
        <v>1.63</v>
      </c>
      <c r="Z20">
        <f>Y20*Z18</f>
        <v>0.25772562930372289</v>
      </c>
      <c r="AA20" t="str">
        <f>IF(AC16&gt;Z20,"Yes","No")</f>
        <v>Yes</v>
      </c>
      <c r="AI20" t="s">
        <v>37</v>
      </c>
      <c r="AJ20">
        <f>AJ19/((AC7+AC8)^0.5)</f>
        <v>-0.25451947880439413</v>
      </c>
    </row>
    <row r="21" spans="1:37" ht="18.75" x14ac:dyDescent="0.3">
      <c r="A21" s="10"/>
      <c r="B21" s="10" t="s">
        <v>23</v>
      </c>
      <c r="C21" s="8" t="s">
        <v>25</v>
      </c>
      <c r="D21" s="7">
        <f>IF(MIN(AC7:AC8)&gt;24,AJ17,"na")</f>
        <v>1.2843897546407556E-3</v>
      </c>
      <c r="X21">
        <v>1E-3</v>
      </c>
      <c r="Y21">
        <v>1.95</v>
      </c>
      <c r="Z21">
        <f>Y21*Z18</f>
        <v>0.30832207186641697</v>
      </c>
      <c r="AA21" t="str">
        <f>IF(AC16&gt;Z21,"Yes","No")</f>
        <v>Yes</v>
      </c>
      <c r="AI21" t="s">
        <v>40</v>
      </c>
      <c r="AJ21">
        <f>(MAX(AP10:AP11))/(MIN(AP10:AP11))</f>
        <v>1.0865476659721831</v>
      </c>
    </row>
    <row r="22" spans="1:37" ht="18.75" x14ac:dyDescent="0.3">
      <c r="A22" s="10"/>
      <c r="B22" s="10" t="s">
        <v>24</v>
      </c>
      <c r="C22" s="8" t="s">
        <v>25</v>
      </c>
      <c r="D22" s="7">
        <f>IF(MIN(AC7:AC8)&gt;24,D21/2,"na")</f>
        <v>6.4219487732037782E-4</v>
      </c>
      <c r="AJ22" t="s">
        <v>44</v>
      </c>
      <c r="AK22" t="s">
        <v>45</v>
      </c>
    </row>
    <row r="23" spans="1:37" x14ac:dyDescent="0.25">
      <c r="X23" t="s">
        <v>32</v>
      </c>
      <c r="Y23">
        <f>(4*(AC16^2))</f>
        <v>0.48999999999999994</v>
      </c>
      <c r="Z23">
        <f>(AC7*AC8)/(AC7+AC8)</f>
        <v>40</v>
      </c>
      <c r="AA23">
        <f>Y23*Z23</f>
        <v>19.599999999999998</v>
      </c>
      <c r="AI23" t="s">
        <v>42</v>
      </c>
      <c r="AJ23">
        <f>_xlfn.F.INV.RT(0.025,MAX(AC7:AC8)-1,MIN(AC7:AC8)-1)</f>
        <v>1.559280837345167</v>
      </c>
      <c r="AK23">
        <f>_xlfn.F.INV.RT(0.05,MAX(AC7:AC8)-1,MIN(AC7:AC8)-1)</f>
        <v>1.4511523225118479</v>
      </c>
    </row>
    <row r="24" spans="1:37" ht="15.75" x14ac:dyDescent="0.25">
      <c r="B24" s="7" t="s">
        <v>27</v>
      </c>
      <c r="C24" s="7" t="s">
        <v>28</v>
      </c>
      <c r="X24" t="s">
        <v>33</v>
      </c>
      <c r="Y24">
        <f>_xlfn.CHISQ.DIST.RT(AA23,2)</f>
        <v>5.545159943217704E-5</v>
      </c>
      <c r="AI24" t="s">
        <v>43</v>
      </c>
      <c r="AJ24">
        <f>_xlfn.F.INV.RT(0.005,MAX(AC7:AC8)-1,MIN(AC7:AC8)-1)</f>
        <v>1.7959504978415912</v>
      </c>
      <c r="AK24">
        <f>_xlfn.F.INV.RT(0.01,MAX(AC7:AC8)-1,MIN(AC7:AC8)-1)</f>
        <v>1.6957761130352866</v>
      </c>
    </row>
    <row r="25" spans="1:37" ht="15.75" x14ac:dyDescent="0.25">
      <c r="A25" s="7" t="str">
        <f>B7</f>
        <v>Male</v>
      </c>
      <c r="B25">
        <f>AP7</f>
        <v>6.4</v>
      </c>
      <c r="C25" s="5">
        <f>AQ10</f>
        <v>1.7473306947919232</v>
      </c>
    </row>
    <row r="26" spans="1:37" ht="15.75" x14ac:dyDescent="0.25">
      <c r="A26" s="7" t="str">
        <f>B8</f>
        <v>Female</v>
      </c>
      <c r="B26">
        <f>AP8</f>
        <v>5.5125000000000002</v>
      </c>
      <c r="C26" s="5">
        <f>AQ11</f>
        <v>1.6762960223153844</v>
      </c>
      <c r="X26" t="s">
        <v>34</v>
      </c>
      <c r="Y26">
        <f>Y24*2</f>
        <v>1.1090319886435408E-4</v>
      </c>
    </row>
    <row r="28" spans="1:37" x14ac:dyDescent="0.25">
      <c r="A28" t="s">
        <v>38</v>
      </c>
      <c r="C28">
        <f>ABS(AJ20)</f>
        <v>0.25451947880439413</v>
      </c>
    </row>
    <row r="30" spans="1:37" x14ac:dyDescent="0.25">
      <c r="D30" t="s">
        <v>31</v>
      </c>
      <c r="E30" t="s">
        <v>35</v>
      </c>
    </row>
    <row r="31" spans="1:37" x14ac:dyDescent="0.25">
      <c r="A31" t="s">
        <v>41</v>
      </c>
      <c r="C31">
        <f>AJ21</f>
        <v>1.0865476659721831</v>
      </c>
      <c r="D31" t="str">
        <f>IF(C31&lt;AJ23,"p &gt; 0.05","p&lt;0.05")</f>
        <v>p &gt; 0.05</v>
      </c>
      <c r="E31" t="str">
        <f>IF(C31&lt;AK23,"p &gt; 0.05","p&lt;0.05")</f>
        <v>p &gt; 0.05</v>
      </c>
    </row>
    <row r="32" spans="1:37" x14ac:dyDescent="0.25">
      <c r="D32" t="str">
        <f>IF(C31&lt;AJ24,"p &gt; 0.01","p&lt;0.01")</f>
        <v>p &gt; 0.01</v>
      </c>
      <c r="E32" t="str">
        <f>IF(C31&lt;AK24,"p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32"/>
  <sheetViews>
    <sheetView topLeftCell="A4" workbookViewId="0">
      <selection activeCell="N9" sqref="N9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46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46" x14ac:dyDescent="0.25">
      <c r="B3" s="30"/>
      <c r="C3" s="30"/>
      <c r="D3" s="30"/>
      <c r="E3" s="30"/>
      <c r="F3" s="30"/>
      <c r="G3" s="30"/>
      <c r="H3" s="30"/>
      <c r="I3" s="30"/>
    </row>
    <row r="4" spans="1:46" x14ac:dyDescent="0.25">
      <c r="R4" t="s">
        <v>29</v>
      </c>
    </row>
    <row r="5" spans="1:46" ht="15.75" customHeight="1" thickBot="1" x14ac:dyDescent="0.3"/>
    <row r="6" spans="1:46" ht="19.5" thickBot="1" x14ac:dyDescent="0.3">
      <c r="C6" s="11"/>
      <c r="D6" s="2" t="s">
        <v>47</v>
      </c>
      <c r="E6" s="2" t="s">
        <v>53</v>
      </c>
      <c r="F6" s="2" t="s">
        <v>54</v>
      </c>
      <c r="G6" s="2" t="s">
        <v>48</v>
      </c>
      <c r="H6" s="2" t="s">
        <v>55</v>
      </c>
      <c r="I6" s="2" t="s">
        <v>66</v>
      </c>
      <c r="J6" s="2" t="s">
        <v>67</v>
      </c>
      <c r="K6" s="2" t="s">
        <v>68</v>
      </c>
      <c r="L6" s="2" t="s">
        <v>69</v>
      </c>
      <c r="M6" s="2" t="s">
        <v>70</v>
      </c>
      <c r="O6" s="9" t="s">
        <v>7</v>
      </c>
      <c r="P6" s="9"/>
      <c r="Q6" s="13"/>
      <c r="S6" s="4" t="str">
        <f t="shared" ref="S6:Y6" si="0">D6</f>
        <v>A</v>
      </c>
      <c r="T6" s="4" t="str">
        <f t="shared" si="0"/>
        <v>B</v>
      </c>
      <c r="U6" s="4" t="str">
        <f t="shared" si="0"/>
        <v>C</v>
      </c>
      <c r="V6" s="4" t="str">
        <f t="shared" si="0"/>
        <v>D</v>
      </c>
      <c r="W6" s="4" t="str">
        <f t="shared" si="0"/>
        <v>E</v>
      </c>
      <c r="X6" s="4" t="str">
        <f t="shared" si="0"/>
        <v>F</v>
      </c>
      <c r="Y6" s="4" t="str">
        <f t="shared" si="0"/>
        <v>G</v>
      </c>
      <c r="Z6" s="4" t="str">
        <f t="shared" ref="Z6:AB6" si="1">K6</f>
        <v>H</v>
      </c>
      <c r="AA6" s="4" t="str">
        <f t="shared" si="1"/>
        <v>I</v>
      </c>
      <c r="AB6" s="4" t="str">
        <f t="shared" si="1"/>
        <v>J</v>
      </c>
      <c r="AC6" s="4"/>
      <c r="AD6" s="2" t="s">
        <v>7</v>
      </c>
      <c r="AE6" s="4"/>
      <c r="AG6" s="4" t="str">
        <f>D6</f>
        <v>A</v>
      </c>
      <c r="AH6" s="4" t="str">
        <f>E6</f>
        <v>B</v>
      </c>
      <c r="AI6" s="4" t="str">
        <f>F6</f>
        <v>C</v>
      </c>
      <c r="AJ6" s="4" t="str">
        <f t="shared" ref="AJ6:AP6" si="2">G6</f>
        <v>D</v>
      </c>
      <c r="AK6" s="4" t="str">
        <f t="shared" si="2"/>
        <v>E</v>
      </c>
      <c r="AL6" s="4" t="str">
        <f t="shared" si="2"/>
        <v>F</v>
      </c>
      <c r="AM6" s="4" t="str">
        <f t="shared" si="2"/>
        <v>G</v>
      </c>
      <c r="AN6" s="4" t="str">
        <f t="shared" si="2"/>
        <v>H</v>
      </c>
      <c r="AO6" s="4" t="str">
        <f t="shared" si="2"/>
        <v>I</v>
      </c>
      <c r="AP6" s="4" t="str">
        <f t="shared" si="2"/>
        <v>J</v>
      </c>
      <c r="AR6" t="s">
        <v>9</v>
      </c>
    </row>
    <row r="7" spans="1:46" ht="19.5" thickBot="1" x14ac:dyDescent="0.3">
      <c r="B7" s="33" t="s">
        <v>51</v>
      </c>
      <c r="C7" s="34"/>
      <c r="D7" s="12">
        <v>8</v>
      </c>
      <c r="E7" s="12">
        <v>16</v>
      </c>
      <c r="F7" s="12">
        <v>35</v>
      </c>
      <c r="G7" s="12">
        <v>14</v>
      </c>
      <c r="H7" s="12">
        <v>6</v>
      </c>
      <c r="I7" s="12">
        <v>2</v>
      </c>
      <c r="J7" s="12">
        <v>7</v>
      </c>
      <c r="K7" s="12">
        <v>10</v>
      </c>
      <c r="L7" s="12">
        <v>2</v>
      </c>
      <c r="M7" s="12">
        <v>0</v>
      </c>
      <c r="O7">
        <f>SUM(D7:M7)</f>
        <v>100</v>
      </c>
      <c r="Q7" s="13"/>
      <c r="R7" t="str">
        <f>B7</f>
        <v>Male</v>
      </c>
      <c r="S7">
        <f>D7</f>
        <v>8</v>
      </c>
      <c r="T7">
        <f t="shared" ref="T7:Y8" si="3">E7+S7</f>
        <v>24</v>
      </c>
      <c r="U7">
        <f t="shared" si="3"/>
        <v>59</v>
      </c>
      <c r="V7">
        <f t="shared" si="3"/>
        <v>73</v>
      </c>
      <c r="W7">
        <f t="shared" si="3"/>
        <v>79</v>
      </c>
      <c r="X7">
        <f t="shared" si="3"/>
        <v>81</v>
      </c>
      <c r="Y7">
        <f t="shared" si="3"/>
        <v>88</v>
      </c>
      <c r="Z7">
        <f t="shared" ref="Z7:AB7" si="4">K7+Y7</f>
        <v>98</v>
      </c>
      <c r="AA7">
        <f t="shared" si="4"/>
        <v>100</v>
      </c>
      <c r="AB7">
        <f t="shared" si="4"/>
        <v>100</v>
      </c>
      <c r="AD7" s="3">
        <f>SUM(D7:M7)</f>
        <v>100</v>
      </c>
      <c r="AF7" t="str">
        <f>B7</f>
        <v>Male</v>
      </c>
      <c r="AG7">
        <f>D7*D10</f>
        <v>80</v>
      </c>
      <c r="AH7">
        <f>E7*E10</f>
        <v>144</v>
      </c>
      <c r="AI7">
        <f>F7*F10</f>
        <v>280</v>
      </c>
      <c r="AJ7">
        <f t="shared" ref="AJ7:AP7" si="5">G7*G10</f>
        <v>98</v>
      </c>
      <c r="AK7">
        <f t="shared" si="5"/>
        <v>36</v>
      </c>
      <c r="AL7">
        <f t="shared" si="5"/>
        <v>10</v>
      </c>
      <c r="AM7">
        <f t="shared" si="5"/>
        <v>28</v>
      </c>
      <c r="AN7">
        <f t="shared" si="5"/>
        <v>30</v>
      </c>
      <c r="AO7">
        <f t="shared" si="5"/>
        <v>4</v>
      </c>
      <c r="AP7">
        <f t="shared" si="5"/>
        <v>0</v>
      </c>
      <c r="AR7">
        <f>SUM(AG7:AP7)/AD7</f>
        <v>7.1</v>
      </c>
      <c r="AS7" t="s">
        <v>15</v>
      </c>
      <c r="AT7">
        <f>MAX(AR7:AR8)</f>
        <v>7.1</v>
      </c>
    </row>
    <row r="8" spans="1:46" ht="19.5" thickBot="1" x14ac:dyDescent="0.3">
      <c r="B8" s="33" t="s">
        <v>52</v>
      </c>
      <c r="C8" s="34"/>
      <c r="D8" s="12">
        <v>2</v>
      </c>
      <c r="E8" s="12">
        <v>6</v>
      </c>
      <c r="F8" s="12">
        <v>12</v>
      </c>
      <c r="G8" s="12">
        <v>27</v>
      </c>
      <c r="H8" s="12">
        <v>20</v>
      </c>
      <c r="I8" s="12">
        <v>11</v>
      </c>
      <c r="J8" s="12">
        <v>8</v>
      </c>
      <c r="K8" s="12">
        <v>10</v>
      </c>
      <c r="L8" s="12">
        <v>3</v>
      </c>
      <c r="M8" s="12">
        <v>1</v>
      </c>
      <c r="O8">
        <f>SUM(D8:M8)</f>
        <v>100</v>
      </c>
      <c r="Q8" s="13"/>
      <c r="R8" t="str">
        <f>B8</f>
        <v>Female</v>
      </c>
      <c r="S8">
        <f>D8</f>
        <v>2</v>
      </c>
      <c r="T8">
        <f t="shared" si="3"/>
        <v>8</v>
      </c>
      <c r="U8">
        <f t="shared" si="3"/>
        <v>20</v>
      </c>
      <c r="V8">
        <f t="shared" si="3"/>
        <v>47</v>
      </c>
      <c r="W8">
        <f t="shared" si="3"/>
        <v>67</v>
      </c>
      <c r="X8">
        <f t="shared" si="3"/>
        <v>78</v>
      </c>
      <c r="Y8">
        <f t="shared" si="3"/>
        <v>86</v>
      </c>
      <c r="Z8">
        <f t="shared" ref="Z8:AB8" si="6">K8+Y8</f>
        <v>96</v>
      </c>
      <c r="AA8">
        <f t="shared" si="6"/>
        <v>99</v>
      </c>
      <c r="AB8">
        <f t="shared" si="6"/>
        <v>100</v>
      </c>
      <c r="AD8" s="3">
        <f>SUM(D8:M8)</f>
        <v>100</v>
      </c>
      <c r="AF8" t="str">
        <f>B8</f>
        <v>Female</v>
      </c>
      <c r="AG8">
        <f>D8*D10</f>
        <v>20</v>
      </c>
      <c r="AH8">
        <f>E8*E10</f>
        <v>54</v>
      </c>
      <c r="AI8">
        <f>F8*F10</f>
        <v>96</v>
      </c>
      <c r="AJ8">
        <f t="shared" ref="AJ8:AP8" si="7">G8*G10</f>
        <v>189</v>
      </c>
      <c r="AK8">
        <f t="shared" si="7"/>
        <v>120</v>
      </c>
      <c r="AL8">
        <f t="shared" si="7"/>
        <v>55</v>
      </c>
      <c r="AM8">
        <f t="shared" si="7"/>
        <v>32</v>
      </c>
      <c r="AN8">
        <f t="shared" si="7"/>
        <v>30</v>
      </c>
      <c r="AO8">
        <f t="shared" si="7"/>
        <v>6</v>
      </c>
      <c r="AP8">
        <f t="shared" si="7"/>
        <v>1</v>
      </c>
      <c r="AR8">
        <f>SUM(AG8:AP8)/AD8</f>
        <v>6.03</v>
      </c>
      <c r="AS8" t="s">
        <v>16</v>
      </c>
      <c r="AT8">
        <f>MIN(AR7:AR8)</f>
        <v>6.03</v>
      </c>
    </row>
    <row r="9" spans="1:46" x14ac:dyDescent="0.25">
      <c r="AD9" t="s">
        <v>18</v>
      </c>
      <c r="AR9" t="s">
        <v>10</v>
      </c>
      <c r="AS9" t="s">
        <v>11</v>
      </c>
    </row>
    <row r="10" spans="1:46" ht="18.75" x14ac:dyDescent="0.3">
      <c r="B10" s="8" t="s">
        <v>8</v>
      </c>
      <c r="D10" s="6">
        <v>10</v>
      </c>
      <c r="E10" s="6">
        <v>9</v>
      </c>
      <c r="F10" s="6">
        <v>8</v>
      </c>
      <c r="G10" s="6">
        <v>7</v>
      </c>
      <c r="H10" s="6">
        <v>6</v>
      </c>
      <c r="I10" s="6">
        <v>5</v>
      </c>
      <c r="J10" s="6">
        <v>4</v>
      </c>
      <c r="K10" s="6">
        <v>3</v>
      </c>
      <c r="L10" s="6">
        <v>2</v>
      </c>
      <c r="M10" s="6">
        <v>1</v>
      </c>
      <c r="R10" t="s">
        <v>17</v>
      </c>
      <c r="S10">
        <f>ABS(S7-S8)</f>
        <v>6</v>
      </c>
      <c r="T10">
        <f t="shared" ref="T10:Y10" si="8">ABS(T7-T8)</f>
        <v>16</v>
      </c>
      <c r="U10">
        <f t="shared" si="8"/>
        <v>39</v>
      </c>
      <c r="V10">
        <f t="shared" si="8"/>
        <v>26</v>
      </c>
      <c r="W10">
        <f t="shared" si="8"/>
        <v>12</v>
      </c>
      <c r="X10">
        <f t="shared" si="8"/>
        <v>3</v>
      </c>
      <c r="Y10">
        <f t="shared" si="8"/>
        <v>2</v>
      </c>
      <c r="Z10">
        <f t="shared" ref="Z10:AB10" si="9">ABS(Z7-Z8)</f>
        <v>2</v>
      </c>
      <c r="AA10">
        <f t="shared" si="9"/>
        <v>1</v>
      </c>
      <c r="AB10">
        <f t="shared" si="9"/>
        <v>0</v>
      </c>
      <c r="AD10">
        <f>MAX(S10:AB10)</f>
        <v>39</v>
      </c>
      <c r="AF10" t="str">
        <f>AF7</f>
        <v>Male</v>
      </c>
      <c r="AG10">
        <f>((D10-$AR7)^2)*D7</f>
        <v>67.280000000000015</v>
      </c>
      <c r="AH10">
        <f>((E10-$AR7)^2)*E7</f>
        <v>57.760000000000019</v>
      </c>
      <c r="AI10">
        <f>((F10-$AR7)^2)*F7</f>
        <v>28.350000000000023</v>
      </c>
      <c r="AJ10">
        <f t="shared" ref="AJ10:AP10" si="10">((G10-$AR7)^2)*G7</f>
        <v>0.13999999999999901</v>
      </c>
      <c r="AK10">
        <f t="shared" si="10"/>
        <v>7.2599999999999962</v>
      </c>
      <c r="AL10">
        <f t="shared" si="10"/>
        <v>8.8199999999999967</v>
      </c>
      <c r="AM10">
        <f t="shared" si="10"/>
        <v>67.269999999999982</v>
      </c>
      <c r="AN10">
        <f t="shared" si="10"/>
        <v>168.1</v>
      </c>
      <c r="AO10">
        <f t="shared" si="10"/>
        <v>52.019999999999996</v>
      </c>
      <c r="AP10">
        <f t="shared" si="10"/>
        <v>0</v>
      </c>
      <c r="AR10">
        <f>(SUM(AG10:AP10))/(AD7-1)</f>
        <v>4.6161616161616159</v>
      </c>
      <c r="AS10" s="5">
        <f>AR10^0.5</f>
        <v>2.1485254515973544</v>
      </c>
    </row>
    <row r="11" spans="1:46" x14ac:dyDescent="0.25">
      <c r="M11" t="s">
        <v>63</v>
      </c>
      <c r="O11" t="s">
        <v>65</v>
      </c>
      <c r="AF11" t="str">
        <f>AF8</f>
        <v>Female</v>
      </c>
      <c r="AG11">
        <f>((D10-$AR8)^2)*D8</f>
        <v>31.521799999999995</v>
      </c>
      <c r="AH11">
        <f>((E10-$AR8)^2)*E8</f>
        <v>52.925399999999989</v>
      </c>
      <c r="AI11">
        <f>((F10-$AR8)^2)*F8</f>
        <v>46.570799999999991</v>
      </c>
      <c r="AJ11">
        <f t="shared" ref="AJ11:AP11" si="11">((G10-$AR8)^2)*G8</f>
        <v>25.404299999999989</v>
      </c>
      <c r="AK11">
        <f t="shared" si="11"/>
        <v>1.80000000000003E-2</v>
      </c>
      <c r="AL11">
        <f t="shared" si="11"/>
        <v>11.669900000000007</v>
      </c>
      <c r="AM11">
        <f t="shared" si="11"/>
        <v>32.967200000000005</v>
      </c>
      <c r="AN11">
        <f t="shared" si="11"/>
        <v>91.809000000000012</v>
      </c>
      <c r="AO11">
        <f t="shared" si="11"/>
        <v>48.72270000000001</v>
      </c>
      <c r="AP11">
        <f t="shared" si="11"/>
        <v>25.300900000000002</v>
      </c>
      <c r="AR11">
        <f>(SUM(AG11:AP11))/(AD8-1)</f>
        <v>3.7061616161616162</v>
      </c>
      <c r="AS11" s="5">
        <f>AR11^0.5</f>
        <v>1.9251393757755868</v>
      </c>
    </row>
    <row r="12" spans="1:46" ht="17.25" customHeight="1" x14ac:dyDescent="0.25">
      <c r="A12" s="17"/>
      <c r="B12" s="17"/>
      <c r="C12" s="14" t="s">
        <v>19</v>
      </c>
      <c r="D12" s="14">
        <f>IF(AD7=AD8,AD10,AD16)</f>
        <v>39</v>
      </c>
      <c r="E12" s="16"/>
      <c r="F12" s="16" t="s">
        <v>31</v>
      </c>
      <c r="G12" s="22">
        <f>IF(Y26&lt;1,Y26,"na")</f>
        <v>4.959192036090082E-7</v>
      </c>
      <c r="H12" s="30" t="s">
        <v>39</v>
      </c>
      <c r="I12" s="30"/>
      <c r="J12" s="30"/>
      <c r="K12" s="30"/>
      <c r="M12" t="s">
        <v>62</v>
      </c>
      <c r="N12" s="1">
        <f>IF(MIN(AD7:AD8)&gt;39,Z19,"na")</f>
        <v>0.19233304448274094</v>
      </c>
      <c r="O12" s="23" t="str">
        <f>IF(MIN(AD7:AD8)&gt;39,AA19,"na")</f>
        <v>Yes</v>
      </c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46" ht="15" customHeight="1" x14ac:dyDescent="0.25">
      <c r="A13" s="17"/>
      <c r="B13" s="17"/>
      <c r="F13" t="s">
        <v>35</v>
      </c>
      <c r="G13" s="20">
        <f>Y24</f>
        <v>2.479596018045041E-7</v>
      </c>
      <c r="H13" s="30"/>
      <c r="I13" s="30"/>
      <c r="J13" s="30"/>
      <c r="K13" s="30"/>
      <c r="M13" t="s">
        <v>64</v>
      </c>
      <c r="N13" s="1">
        <f>IF(MIN(AD7:AD8)&gt;39,Z20,"na")</f>
        <v>0.23051681066681448</v>
      </c>
      <c r="O13" s="23" t="str">
        <f>IF(MIN(AD7:AD8)&gt;39,AA20,"na")</f>
        <v>Yes</v>
      </c>
      <c r="R13" t="str">
        <f>B7</f>
        <v>Male</v>
      </c>
      <c r="S13">
        <f t="shared" ref="S13:Y14" si="12">S7/$AD7</f>
        <v>0.08</v>
      </c>
      <c r="T13">
        <f t="shared" si="12"/>
        <v>0.24</v>
      </c>
      <c r="U13">
        <f t="shared" si="12"/>
        <v>0.59</v>
      </c>
      <c r="V13">
        <f t="shared" si="12"/>
        <v>0.73</v>
      </c>
      <c r="W13">
        <f t="shared" si="12"/>
        <v>0.79</v>
      </c>
      <c r="X13">
        <f t="shared" si="12"/>
        <v>0.81</v>
      </c>
      <c r="Y13">
        <f t="shared" si="12"/>
        <v>0.88</v>
      </c>
      <c r="Z13">
        <f t="shared" ref="Z13:AB13" si="13">Z7/$AD7</f>
        <v>0.98</v>
      </c>
      <c r="AA13">
        <f t="shared" si="13"/>
        <v>1</v>
      </c>
      <c r="AB13">
        <f t="shared" si="13"/>
        <v>1</v>
      </c>
      <c r="AM13" t="s">
        <v>12</v>
      </c>
      <c r="AN13">
        <f>AT7-AT8</f>
        <v>1.0699999999999994</v>
      </c>
    </row>
    <row r="14" spans="1:46" ht="18.75" x14ac:dyDescent="0.3">
      <c r="A14" s="8" t="s">
        <v>20</v>
      </c>
      <c r="B14" s="8"/>
      <c r="C14" s="8" t="s">
        <v>21</v>
      </c>
      <c r="D14" s="21">
        <f>IF(AD7=AD8,D12/((AD7+AD8)/2),"Use Dmax")</f>
        <v>0.39</v>
      </c>
      <c r="H14" s="30"/>
      <c r="I14" s="30"/>
      <c r="J14" s="30"/>
      <c r="K14" s="30"/>
      <c r="M14" t="s">
        <v>64</v>
      </c>
      <c r="N14" s="1">
        <f>IF(MIN(AD7:AD8)&gt;39,Z21,"na")</f>
        <v>0.2757716446627535</v>
      </c>
      <c r="O14" s="23" t="str">
        <f>IF(MIN(AD7:AD8)&gt;39,AA21,"na")</f>
        <v>Yes</v>
      </c>
      <c r="R14" t="str">
        <f>B8</f>
        <v>Female</v>
      </c>
      <c r="S14">
        <f t="shared" si="12"/>
        <v>0.02</v>
      </c>
      <c r="T14">
        <f t="shared" si="12"/>
        <v>0.08</v>
      </c>
      <c r="U14">
        <f t="shared" si="12"/>
        <v>0.2</v>
      </c>
      <c r="V14">
        <f t="shared" si="12"/>
        <v>0.47</v>
      </c>
      <c r="W14">
        <f t="shared" si="12"/>
        <v>0.67</v>
      </c>
      <c r="X14">
        <f t="shared" si="12"/>
        <v>0.78</v>
      </c>
      <c r="Y14">
        <f t="shared" si="12"/>
        <v>0.86</v>
      </c>
      <c r="Z14">
        <f t="shared" ref="Z14:AB14" si="14">Z8/$AD8</f>
        <v>0.96</v>
      </c>
      <c r="AA14">
        <f t="shared" si="14"/>
        <v>0.99</v>
      </c>
      <c r="AB14">
        <f t="shared" si="14"/>
        <v>1</v>
      </c>
      <c r="AM14" t="s">
        <v>13</v>
      </c>
      <c r="AN14">
        <f>((AR10/AD7)+(AR11/AD8))^0.5</f>
        <v>0.28848437102074059</v>
      </c>
    </row>
    <row r="15" spans="1:46" ht="18.75" x14ac:dyDescent="0.3">
      <c r="A15" s="8"/>
      <c r="B15" s="8"/>
      <c r="C15" s="8"/>
      <c r="D15" s="8"/>
      <c r="AD15" t="s">
        <v>18</v>
      </c>
      <c r="AM15" t="s">
        <v>14</v>
      </c>
      <c r="AN15" s="15">
        <f>AN13/AN14</f>
        <v>3.7090397521849519</v>
      </c>
    </row>
    <row r="16" spans="1:46" x14ac:dyDescent="0.25">
      <c r="A16" s="30" t="str">
        <f>IF(MIN(AD7:AD8)&lt;50,"Your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0.06</v>
      </c>
      <c r="T16">
        <f t="shared" ref="T16:Y16" si="15">ABS(T13-T14)</f>
        <v>0.15999999999999998</v>
      </c>
      <c r="U16">
        <f t="shared" si="15"/>
        <v>0.38999999999999996</v>
      </c>
      <c r="V16">
        <f t="shared" si="15"/>
        <v>0.26</v>
      </c>
      <c r="W16">
        <f t="shared" si="15"/>
        <v>0.12</v>
      </c>
      <c r="X16">
        <f t="shared" si="15"/>
        <v>3.0000000000000027E-2</v>
      </c>
      <c r="Y16">
        <f t="shared" si="15"/>
        <v>2.0000000000000018E-2</v>
      </c>
      <c r="Z16">
        <f t="shared" ref="Z16:AB16" si="16">ABS(Z13-Z14)</f>
        <v>2.0000000000000018E-2</v>
      </c>
      <c r="AA16">
        <f t="shared" si="16"/>
        <v>1.0000000000000009E-2</v>
      </c>
      <c r="AB16">
        <f t="shared" si="16"/>
        <v>0</v>
      </c>
      <c r="AD16">
        <f>MAX(S16:AB16)</f>
        <v>0.38999999999999996</v>
      </c>
      <c r="AM16" t="s">
        <v>0</v>
      </c>
      <c r="AN16">
        <f>AD7+AD8-2</f>
        <v>198</v>
      </c>
    </row>
    <row r="17" spans="1:37" x14ac:dyDescent="0.25">
      <c r="A17" s="30"/>
      <c r="B17" s="30"/>
      <c r="C17" s="30"/>
      <c r="D17" s="30"/>
      <c r="AI17" t="s">
        <v>31</v>
      </c>
      <c r="AJ17">
        <f>_xlfn.T.DIST.2T(AN15,AN16)</f>
        <v>2.7015527323723325E-4</v>
      </c>
    </row>
    <row r="18" spans="1:37" x14ac:dyDescent="0.25">
      <c r="A18" s="30"/>
      <c r="B18" s="30"/>
      <c r="C18" s="30"/>
      <c r="D18" s="30"/>
      <c r="X18" t="s">
        <v>25</v>
      </c>
      <c r="Z18">
        <f>((AD7+AD8)/(AD7*AD8))^0.5</f>
        <v>0.1414213562373095</v>
      </c>
      <c r="AI18" t="s">
        <v>35</v>
      </c>
      <c r="AJ18">
        <f>AJ17/2</f>
        <v>1.3507763661861662E-4</v>
      </c>
    </row>
    <row r="19" spans="1:37" x14ac:dyDescent="0.25">
      <c r="X19">
        <v>0.05</v>
      </c>
      <c r="Y19">
        <v>1.36</v>
      </c>
      <c r="Z19">
        <f>Y19*Z18</f>
        <v>0.19233304448274094</v>
      </c>
      <c r="AA19" t="str">
        <f>IF(AD16&gt;Z19,"Yes","No")</f>
        <v>Yes</v>
      </c>
      <c r="AI19" t="s">
        <v>36</v>
      </c>
      <c r="AJ19">
        <f>_xlfn.NORM.S.INV(AJ18)</f>
        <v>-3.6423548893959428</v>
      </c>
    </row>
    <row r="20" spans="1:37" ht="18.75" x14ac:dyDescent="0.3">
      <c r="A20" s="10" t="s">
        <v>22</v>
      </c>
      <c r="B20" s="10"/>
      <c r="C20" s="8" t="s">
        <v>26</v>
      </c>
      <c r="D20" s="7">
        <f>IF(MIN(AD7:AD8)&gt;24,AN15,"na")</f>
        <v>3.7090397521849519</v>
      </c>
      <c r="X20">
        <v>0.01</v>
      </c>
      <c r="Y20">
        <v>1.63</v>
      </c>
      <c r="Z20">
        <f>Y20*Z18</f>
        <v>0.23051681066681448</v>
      </c>
      <c r="AA20" t="str">
        <f>IF(AD16&gt;Z20,"Yes","No")</f>
        <v>Yes</v>
      </c>
      <c r="AI20" t="s">
        <v>37</v>
      </c>
      <c r="AJ20">
        <f>AJ19/((AD7+AD8)^0.5)</f>
        <v>-0.25755338417798485</v>
      </c>
    </row>
    <row r="21" spans="1:37" ht="18.75" x14ac:dyDescent="0.3">
      <c r="A21" s="10"/>
      <c r="B21" s="10" t="s">
        <v>23</v>
      </c>
      <c r="C21" s="8" t="s">
        <v>25</v>
      </c>
      <c r="D21" s="7">
        <f>IF(MIN(AD7:AD8)&gt;24,AJ17,"na")</f>
        <v>2.7015527323723325E-4</v>
      </c>
      <c r="X21">
        <v>1E-3</v>
      </c>
      <c r="Y21">
        <v>1.95</v>
      </c>
      <c r="Z21">
        <f>Y21*Z18</f>
        <v>0.2757716446627535</v>
      </c>
      <c r="AA21" t="str">
        <f>IF(AD16&gt;Z21,"Yes","No")</f>
        <v>Yes</v>
      </c>
      <c r="AI21" t="s">
        <v>40</v>
      </c>
      <c r="AJ21">
        <f>(MAX(AR10:AR11))/(MIN(AR10:AR11))</f>
        <v>1.2455370526832192</v>
      </c>
    </row>
    <row r="22" spans="1:37" ht="18.75" x14ac:dyDescent="0.3">
      <c r="A22" s="10"/>
      <c r="B22" s="10" t="s">
        <v>24</v>
      </c>
      <c r="C22" s="8" t="s">
        <v>25</v>
      </c>
      <c r="D22" s="7">
        <f>IF(MIN(AD7:AD8)&gt;24,D21/2,"na")</f>
        <v>1.3507763661861662E-4</v>
      </c>
      <c r="AJ22" t="s">
        <v>44</v>
      </c>
      <c r="AK22" t="s">
        <v>45</v>
      </c>
    </row>
    <row r="23" spans="1:37" x14ac:dyDescent="0.25">
      <c r="X23" t="s">
        <v>32</v>
      </c>
      <c r="Y23">
        <f>(4*(AD16^2))</f>
        <v>0.60839999999999983</v>
      </c>
      <c r="Z23">
        <f>(AD7*AD8)/(AD7+AD8)</f>
        <v>50</v>
      </c>
      <c r="AA23">
        <f>Y23*Z23</f>
        <v>30.419999999999991</v>
      </c>
      <c r="AI23" t="s">
        <v>42</v>
      </c>
      <c r="AJ23">
        <f>_xlfn.F.INV.RT(0.025,MAX(AD7:AD8)-1,MIN(AD7:AD8)-1)</f>
        <v>1.4862337676192938</v>
      </c>
      <c r="AK23">
        <f>_xlfn.F.INV.RT(0.05,MAX(AD7:AD8)-1,MIN(AD7:AD8)-1)</f>
        <v>1.3940612573481483</v>
      </c>
    </row>
    <row r="24" spans="1:37" ht="15.75" x14ac:dyDescent="0.25">
      <c r="B24" s="7" t="s">
        <v>27</v>
      </c>
      <c r="C24" s="7" t="s">
        <v>28</v>
      </c>
      <c r="X24" t="s">
        <v>33</v>
      </c>
      <c r="Y24">
        <f>_xlfn.CHISQ.DIST.RT(AA23,2)</f>
        <v>2.479596018045041E-7</v>
      </c>
      <c r="AI24" t="s">
        <v>43</v>
      </c>
      <c r="AJ24">
        <f>_xlfn.F.INV.RT(0.005,MAX(AD7:AD8)-1,MIN(AD7:AD8)-1)</f>
        <v>1.6853634818107408</v>
      </c>
      <c r="AK24">
        <f>_xlfn.F.INV.RT(0.01,MAX(AD7:AD8)-1,MIN(AD7:AD8)-1)</f>
        <v>1.601498294840046</v>
      </c>
    </row>
    <row r="25" spans="1:37" ht="15.75" x14ac:dyDescent="0.25">
      <c r="A25" s="7" t="str">
        <f>B7</f>
        <v>Male</v>
      </c>
      <c r="B25">
        <f>AR7</f>
        <v>7.1</v>
      </c>
      <c r="C25" s="5">
        <f>AS10</f>
        <v>2.1485254515973544</v>
      </c>
    </row>
    <row r="26" spans="1:37" ht="15.75" x14ac:dyDescent="0.25">
      <c r="A26" s="7" t="str">
        <f>B8</f>
        <v>Female</v>
      </c>
      <c r="B26">
        <f>AR8</f>
        <v>6.03</v>
      </c>
      <c r="C26" s="5">
        <f>AS11</f>
        <v>1.9251393757755868</v>
      </c>
      <c r="X26" t="s">
        <v>34</v>
      </c>
      <c r="Y26">
        <f>Y24*2</f>
        <v>4.959192036090082E-7</v>
      </c>
    </row>
    <row r="28" spans="1:37" x14ac:dyDescent="0.25">
      <c r="A28" t="s">
        <v>38</v>
      </c>
      <c r="C28">
        <f>ABS(AJ20)</f>
        <v>0.25755338417798485</v>
      </c>
    </row>
    <row r="30" spans="1:37" x14ac:dyDescent="0.25">
      <c r="D30" t="s">
        <v>31</v>
      </c>
      <c r="E30" t="s">
        <v>35</v>
      </c>
    </row>
    <row r="31" spans="1:37" x14ac:dyDescent="0.25">
      <c r="A31" t="s">
        <v>41</v>
      </c>
      <c r="C31">
        <f>AJ21</f>
        <v>1.2455370526832192</v>
      </c>
      <c r="D31" t="str">
        <f>IF(C31&lt;AJ23,"p &gt; 0.05","p&lt;0.05")</f>
        <v>p &gt; 0.05</v>
      </c>
      <c r="E31" t="str">
        <f>IF(C31&lt;AK23,"p &gt; 0.05","p&lt;0.05")</f>
        <v>p &gt; 0.05</v>
      </c>
    </row>
    <row r="32" spans="1:37" x14ac:dyDescent="0.25">
      <c r="D32" t="str">
        <f>IF(C31&lt;AJ24,"p &gt; 0.01","p&lt;0.01")</f>
        <v>p &gt; 0.01</v>
      </c>
      <c r="E32" t="str">
        <f>IF(C31&lt;AK24,"p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V32"/>
  <sheetViews>
    <sheetView topLeftCell="A10" workbookViewId="0">
      <selection activeCell="L31" sqref="L31"/>
    </sheetView>
  </sheetViews>
  <sheetFormatPr defaultRowHeight="15" x14ac:dyDescent="0.25"/>
  <cols>
    <col min="3" max="3" width="8.5703125" customWidth="1"/>
    <col min="4" max="5" width="8.7109375" customWidth="1"/>
    <col min="6" max="6" width="8.85546875" customWidth="1"/>
    <col min="7" max="7" width="8.7109375" customWidth="1"/>
    <col min="8" max="8" width="8.5703125" customWidth="1"/>
    <col min="9" max="9" width="8.7109375" customWidth="1"/>
    <col min="25" max="25" width="12" bestFit="1" customWidth="1"/>
  </cols>
  <sheetData>
    <row r="2" spans="1:48" x14ac:dyDescent="0.25">
      <c r="B2" s="29" t="s">
        <v>30</v>
      </c>
      <c r="C2" s="30"/>
      <c r="D2" s="30"/>
      <c r="E2" s="30"/>
      <c r="F2" s="30"/>
      <c r="G2" s="30"/>
      <c r="H2" s="30"/>
      <c r="I2" s="30"/>
    </row>
    <row r="3" spans="1:48" x14ac:dyDescent="0.25">
      <c r="B3" s="30"/>
      <c r="C3" s="30"/>
      <c r="D3" s="30"/>
      <c r="E3" s="30"/>
      <c r="F3" s="30"/>
      <c r="G3" s="30"/>
      <c r="H3" s="30"/>
      <c r="I3" s="30"/>
    </row>
    <row r="4" spans="1:48" x14ac:dyDescent="0.25">
      <c r="R4" t="s">
        <v>29</v>
      </c>
    </row>
    <row r="5" spans="1:48" ht="15.75" customHeight="1" thickBot="1" x14ac:dyDescent="0.3"/>
    <row r="6" spans="1:48" ht="19.5" thickBot="1" x14ac:dyDescent="0.3">
      <c r="C6" s="11"/>
      <c r="D6" s="2" t="s">
        <v>47</v>
      </c>
      <c r="E6" s="2" t="s">
        <v>53</v>
      </c>
      <c r="F6" s="2" t="s">
        <v>54</v>
      </c>
      <c r="G6" s="2" t="s">
        <v>48</v>
      </c>
      <c r="H6" s="2" t="s">
        <v>55</v>
      </c>
      <c r="I6" s="2" t="s">
        <v>66</v>
      </c>
      <c r="J6" s="2" t="s">
        <v>67</v>
      </c>
      <c r="K6" s="2" t="s">
        <v>68</v>
      </c>
      <c r="L6" s="2" t="s">
        <v>69</v>
      </c>
      <c r="M6" s="2" t="s">
        <v>70</v>
      </c>
      <c r="N6" s="2" t="s">
        <v>71</v>
      </c>
      <c r="P6" s="9" t="s">
        <v>7</v>
      </c>
      <c r="Q6" s="9"/>
      <c r="S6" s="4" t="str">
        <f>D6</f>
        <v>A</v>
      </c>
      <c r="T6" s="4" t="str">
        <f>E6</f>
        <v>B</v>
      </c>
      <c r="U6" s="4" t="str">
        <f>F6</f>
        <v>C</v>
      </c>
      <c r="V6" s="4" t="str">
        <f t="shared" ref="V6:AC6" si="0">G6</f>
        <v>D</v>
      </c>
      <c r="W6" s="4" t="str">
        <f t="shared" si="0"/>
        <v>E</v>
      </c>
      <c r="X6" s="4" t="str">
        <f t="shared" si="0"/>
        <v>F</v>
      </c>
      <c r="Y6" s="4" t="str">
        <f t="shared" si="0"/>
        <v>G</v>
      </c>
      <c r="Z6" s="4" t="str">
        <f t="shared" si="0"/>
        <v>H</v>
      </c>
      <c r="AA6" s="4" t="str">
        <f t="shared" si="0"/>
        <v>I</v>
      </c>
      <c r="AB6" s="4" t="str">
        <f t="shared" si="0"/>
        <v>J</v>
      </c>
      <c r="AC6" s="4" t="str">
        <f t="shared" si="0"/>
        <v>K</v>
      </c>
      <c r="AD6" s="4"/>
      <c r="AE6" s="2" t="s">
        <v>7</v>
      </c>
      <c r="AF6" s="4"/>
      <c r="AH6" s="4" t="str">
        <f>D6</f>
        <v>A</v>
      </c>
      <c r="AI6" s="4" t="str">
        <f>E6</f>
        <v>B</v>
      </c>
      <c r="AJ6" s="4" t="str">
        <f t="shared" ref="AJ6:AR6" si="1">F6</f>
        <v>C</v>
      </c>
      <c r="AK6" s="4" t="str">
        <f t="shared" si="1"/>
        <v>D</v>
      </c>
      <c r="AL6" s="4" t="str">
        <f t="shared" si="1"/>
        <v>E</v>
      </c>
      <c r="AM6" s="4" t="str">
        <f t="shared" si="1"/>
        <v>F</v>
      </c>
      <c r="AN6" s="4" t="str">
        <f t="shared" si="1"/>
        <v>G</v>
      </c>
      <c r="AO6" s="4" t="str">
        <f t="shared" si="1"/>
        <v>H</v>
      </c>
      <c r="AP6" s="4" t="str">
        <f t="shared" si="1"/>
        <v>I</v>
      </c>
      <c r="AQ6" s="4" t="str">
        <f t="shared" si="1"/>
        <v>J</v>
      </c>
      <c r="AR6" s="4" t="str">
        <f t="shared" si="1"/>
        <v>K</v>
      </c>
      <c r="AT6" t="s">
        <v>9</v>
      </c>
    </row>
    <row r="7" spans="1:48" ht="19.5" thickBot="1" x14ac:dyDescent="0.3">
      <c r="B7" s="33" t="s">
        <v>51</v>
      </c>
      <c r="C7" s="34"/>
      <c r="D7" s="12">
        <v>8</v>
      </c>
      <c r="E7" s="12">
        <v>16</v>
      </c>
      <c r="F7" s="12">
        <v>5</v>
      </c>
      <c r="G7" s="12">
        <v>35</v>
      </c>
      <c r="H7" s="12">
        <v>14</v>
      </c>
      <c r="I7" s="12">
        <v>6</v>
      </c>
      <c r="J7" s="12">
        <v>2</v>
      </c>
      <c r="K7" s="12">
        <v>7</v>
      </c>
      <c r="L7" s="12">
        <v>10</v>
      </c>
      <c r="M7" s="12">
        <v>2</v>
      </c>
      <c r="N7" s="12">
        <v>0</v>
      </c>
      <c r="P7">
        <f>SUM(D7:N7)</f>
        <v>105</v>
      </c>
      <c r="R7" t="str">
        <f>B7</f>
        <v>Male</v>
      </c>
      <c r="S7">
        <f>D7</f>
        <v>8</v>
      </c>
      <c r="T7">
        <f>E7+S7</f>
        <v>24</v>
      </c>
      <c r="U7">
        <f t="shared" ref="U7:AC7" si="2">F7+T7</f>
        <v>29</v>
      </c>
      <c r="V7">
        <f t="shared" si="2"/>
        <v>64</v>
      </c>
      <c r="W7">
        <f t="shared" si="2"/>
        <v>78</v>
      </c>
      <c r="X7">
        <f t="shared" si="2"/>
        <v>84</v>
      </c>
      <c r="Y7">
        <f t="shared" si="2"/>
        <v>86</v>
      </c>
      <c r="Z7">
        <f t="shared" si="2"/>
        <v>93</v>
      </c>
      <c r="AA7">
        <f t="shared" si="2"/>
        <v>103</v>
      </c>
      <c r="AB7">
        <f t="shared" si="2"/>
        <v>105</v>
      </c>
      <c r="AC7">
        <f t="shared" si="2"/>
        <v>105</v>
      </c>
      <c r="AE7" s="3">
        <f>SUM(D7:N7)</f>
        <v>105</v>
      </c>
      <c r="AG7" t="str">
        <f>B7</f>
        <v>Male</v>
      </c>
      <c r="AH7">
        <f>D7*D10</f>
        <v>88</v>
      </c>
      <c r="AI7">
        <f>E7*E10</f>
        <v>160</v>
      </c>
      <c r="AJ7">
        <f t="shared" ref="AJ7:AR7" si="3">F7*F10</f>
        <v>45</v>
      </c>
      <c r="AK7">
        <f t="shared" si="3"/>
        <v>280</v>
      </c>
      <c r="AL7">
        <f t="shared" si="3"/>
        <v>98</v>
      </c>
      <c r="AM7">
        <f t="shared" si="3"/>
        <v>36</v>
      </c>
      <c r="AN7">
        <f t="shared" si="3"/>
        <v>10</v>
      </c>
      <c r="AO7">
        <f t="shared" si="3"/>
        <v>28</v>
      </c>
      <c r="AP7">
        <f t="shared" si="3"/>
        <v>30</v>
      </c>
      <c r="AQ7">
        <f t="shared" si="3"/>
        <v>4</v>
      </c>
      <c r="AR7">
        <f t="shared" si="3"/>
        <v>0</v>
      </c>
      <c r="AT7">
        <f>SUM(AH7:AR7)/AE7</f>
        <v>7.4190476190476193</v>
      </c>
      <c r="AU7" t="s">
        <v>15</v>
      </c>
      <c r="AV7">
        <f>MAX(AT7:AT8)</f>
        <v>7.4190476190476193</v>
      </c>
    </row>
    <row r="8" spans="1:48" ht="19.5" thickBot="1" x14ac:dyDescent="0.3">
      <c r="B8" s="33" t="s">
        <v>52</v>
      </c>
      <c r="C8" s="34"/>
      <c r="D8" s="12">
        <v>2</v>
      </c>
      <c r="E8" s="12">
        <v>6</v>
      </c>
      <c r="F8" s="12">
        <v>5</v>
      </c>
      <c r="G8" s="12">
        <v>12</v>
      </c>
      <c r="H8" s="12">
        <v>27</v>
      </c>
      <c r="I8" s="12">
        <v>20</v>
      </c>
      <c r="J8" s="12">
        <v>11</v>
      </c>
      <c r="K8" s="12">
        <v>8</v>
      </c>
      <c r="L8" s="12">
        <v>10</v>
      </c>
      <c r="M8" s="12">
        <v>3</v>
      </c>
      <c r="N8" s="12">
        <v>1</v>
      </c>
      <c r="P8">
        <f>SUM(D8:N8)</f>
        <v>105</v>
      </c>
      <c r="R8" t="str">
        <f>B8</f>
        <v>Female</v>
      </c>
      <c r="S8">
        <f>D8</f>
        <v>2</v>
      </c>
      <c r="T8">
        <f>E8+S8</f>
        <v>8</v>
      </c>
      <c r="U8">
        <f t="shared" ref="U8:AC8" si="4">F8+T8</f>
        <v>13</v>
      </c>
      <c r="V8">
        <f t="shared" si="4"/>
        <v>25</v>
      </c>
      <c r="W8">
        <f t="shared" si="4"/>
        <v>52</v>
      </c>
      <c r="X8">
        <f t="shared" si="4"/>
        <v>72</v>
      </c>
      <c r="Y8">
        <f t="shared" si="4"/>
        <v>83</v>
      </c>
      <c r="Z8">
        <f t="shared" si="4"/>
        <v>91</v>
      </c>
      <c r="AA8">
        <f t="shared" si="4"/>
        <v>101</v>
      </c>
      <c r="AB8">
        <f t="shared" si="4"/>
        <v>104</v>
      </c>
      <c r="AC8">
        <f t="shared" si="4"/>
        <v>105</v>
      </c>
      <c r="AE8" s="3">
        <f>SUM(D8:N8)</f>
        <v>105</v>
      </c>
      <c r="AG8" t="str">
        <f>B8</f>
        <v>Female</v>
      </c>
      <c r="AH8">
        <f>D8*D10</f>
        <v>22</v>
      </c>
      <c r="AI8">
        <f>E8*E10</f>
        <v>60</v>
      </c>
      <c r="AJ8">
        <f t="shared" ref="AJ8:AR8" si="5">F8*F10</f>
        <v>45</v>
      </c>
      <c r="AK8">
        <f t="shared" si="5"/>
        <v>96</v>
      </c>
      <c r="AL8">
        <f t="shared" si="5"/>
        <v>189</v>
      </c>
      <c r="AM8">
        <f t="shared" si="5"/>
        <v>120</v>
      </c>
      <c r="AN8">
        <f t="shared" si="5"/>
        <v>55</v>
      </c>
      <c r="AO8">
        <f t="shared" si="5"/>
        <v>32</v>
      </c>
      <c r="AP8">
        <f t="shared" si="5"/>
        <v>30</v>
      </c>
      <c r="AQ8">
        <f t="shared" si="5"/>
        <v>6</v>
      </c>
      <c r="AR8">
        <f t="shared" si="5"/>
        <v>1</v>
      </c>
      <c r="AT8">
        <f>SUM(AH8:AR8)/AE8</f>
        <v>6.2476190476190476</v>
      </c>
      <c r="AU8" t="s">
        <v>16</v>
      </c>
      <c r="AV8">
        <f>MIN(AT7:AT8)</f>
        <v>6.2476190476190476</v>
      </c>
    </row>
    <row r="9" spans="1:48" x14ac:dyDescent="0.25">
      <c r="AE9" t="s">
        <v>18</v>
      </c>
      <c r="AT9" t="s">
        <v>10</v>
      </c>
      <c r="AU9" t="s">
        <v>11</v>
      </c>
    </row>
    <row r="10" spans="1:48" ht="18.75" x14ac:dyDescent="0.3">
      <c r="B10" s="8" t="s">
        <v>8</v>
      </c>
      <c r="D10" s="6">
        <v>11</v>
      </c>
      <c r="E10" s="6">
        <v>10</v>
      </c>
      <c r="F10" s="6">
        <v>9</v>
      </c>
      <c r="G10" s="6">
        <v>8</v>
      </c>
      <c r="H10" s="6">
        <v>7</v>
      </c>
      <c r="I10" s="6">
        <v>6</v>
      </c>
      <c r="J10" s="6">
        <v>5</v>
      </c>
      <c r="K10" s="6">
        <v>4</v>
      </c>
      <c r="L10" s="6">
        <v>3</v>
      </c>
      <c r="M10" s="6">
        <v>2</v>
      </c>
      <c r="N10" s="6">
        <v>1</v>
      </c>
      <c r="R10" t="s">
        <v>17</v>
      </c>
      <c r="S10">
        <f>ABS(S7-S8)</f>
        <v>6</v>
      </c>
      <c r="T10">
        <f t="shared" ref="T10" si="6">ABS(T7-T8)</f>
        <v>16</v>
      </c>
      <c r="U10">
        <f t="shared" ref="U10:AC10" si="7">ABS(U7-U8)</f>
        <v>16</v>
      </c>
      <c r="V10">
        <f t="shared" si="7"/>
        <v>39</v>
      </c>
      <c r="W10">
        <f t="shared" si="7"/>
        <v>26</v>
      </c>
      <c r="X10">
        <f t="shared" si="7"/>
        <v>12</v>
      </c>
      <c r="Y10">
        <f t="shared" si="7"/>
        <v>3</v>
      </c>
      <c r="Z10">
        <f t="shared" si="7"/>
        <v>2</v>
      </c>
      <c r="AA10">
        <f t="shared" si="7"/>
        <v>2</v>
      </c>
      <c r="AB10">
        <f t="shared" si="7"/>
        <v>1</v>
      </c>
      <c r="AC10">
        <f t="shared" si="7"/>
        <v>0</v>
      </c>
      <c r="AE10">
        <f>MAX(S10:AC10)</f>
        <v>39</v>
      </c>
      <c r="AG10" t="str">
        <f>AG7</f>
        <v>Male</v>
      </c>
      <c r="AH10">
        <f>((D10-$AT7)^2)*D7</f>
        <v>102.58575963718819</v>
      </c>
      <c r="AI10">
        <f>((E10-$AT7)^2)*E7</f>
        <v>106.5810430839002</v>
      </c>
      <c r="AJ10">
        <f t="shared" ref="AJ10:AR10" si="8">((F10-$AT7)^2)*F7</f>
        <v>12.497052154195007</v>
      </c>
      <c r="AK10">
        <f t="shared" si="8"/>
        <v>11.812698412698403</v>
      </c>
      <c r="AL10">
        <f t="shared" si="8"/>
        <v>2.4584126984127019</v>
      </c>
      <c r="AM10">
        <f t="shared" si="8"/>
        <v>12.082176870748306</v>
      </c>
      <c r="AN10">
        <f t="shared" si="8"/>
        <v>11.703582766439911</v>
      </c>
      <c r="AO10">
        <f t="shared" si="8"/>
        <v>81.829206349206359</v>
      </c>
      <c r="AP10">
        <f t="shared" si="8"/>
        <v>195.27981859410434</v>
      </c>
      <c r="AQ10">
        <f t="shared" si="8"/>
        <v>58.732154195011347</v>
      </c>
      <c r="AR10">
        <f t="shared" si="8"/>
        <v>0</v>
      </c>
      <c r="AT10">
        <f>(SUM(AH10:AR10))/(AE7-1)</f>
        <v>5.7265567765567766</v>
      </c>
      <c r="AU10" s="5">
        <f>AT10^0.5</f>
        <v>2.3930225190241683</v>
      </c>
    </row>
    <row r="11" spans="1:48" x14ac:dyDescent="0.25">
      <c r="M11" t="s">
        <v>63</v>
      </c>
      <c r="O11" t="s">
        <v>65</v>
      </c>
      <c r="AG11" t="str">
        <f>AG8</f>
        <v>Female</v>
      </c>
      <c r="AH11">
        <f>((D10-$AT8)^2)*D8</f>
        <v>45.170249433106576</v>
      </c>
      <c r="AI11">
        <f>((E10-$AT8)^2)*E8</f>
        <v>84.482176870748305</v>
      </c>
      <c r="AJ11">
        <f t="shared" ref="AJ11:AR11" si="9">((F10-$AT8)^2)*F8</f>
        <v>37.878004535147397</v>
      </c>
      <c r="AK11">
        <f t="shared" si="9"/>
        <v>36.850068027210881</v>
      </c>
      <c r="AL11">
        <f t="shared" si="9"/>
        <v>15.284081632653061</v>
      </c>
      <c r="AM11">
        <f t="shared" si="9"/>
        <v>1.2263038548752836</v>
      </c>
      <c r="AN11">
        <f t="shared" si="9"/>
        <v>17.122086167800454</v>
      </c>
      <c r="AO11">
        <f t="shared" si="9"/>
        <v>40.41433106575964</v>
      </c>
      <c r="AP11">
        <f t="shared" si="9"/>
        <v>105.4702947845805</v>
      </c>
      <c r="AQ11">
        <f t="shared" si="9"/>
        <v>54.126802721088431</v>
      </c>
      <c r="AR11">
        <f t="shared" si="9"/>
        <v>27.537505668934241</v>
      </c>
      <c r="AT11">
        <f>(SUM(AH11:AR11))/(AE8-1)</f>
        <v>4.4765567765567766</v>
      </c>
      <c r="AU11" s="5">
        <f>AT11^0.5</f>
        <v>2.1157875074205292</v>
      </c>
    </row>
    <row r="12" spans="1:48" ht="17.25" customHeight="1" x14ac:dyDescent="0.25">
      <c r="A12" s="17"/>
      <c r="B12" s="17"/>
      <c r="C12" s="14" t="s">
        <v>19</v>
      </c>
      <c r="D12" s="14">
        <f>IF(AE7=AE8,AE10,AE16)</f>
        <v>39</v>
      </c>
      <c r="E12" s="16"/>
      <c r="F12" s="16" t="s">
        <v>31</v>
      </c>
      <c r="G12" s="22">
        <f>IF(Y26&lt;1,Y26,"na")</f>
        <v>1.0232086783356717E-6</v>
      </c>
      <c r="H12" s="30" t="s">
        <v>39</v>
      </c>
      <c r="I12" s="30"/>
      <c r="J12" s="30"/>
      <c r="K12" s="30"/>
      <c r="M12" t="s">
        <v>62</v>
      </c>
      <c r="N12" s="1">
        <f>IF(MIN(AE7:AE8)&gt;39,Z19,"na")</f>
        <v>0.18769783214112037</v>
      </c>
      <c r="O12" s="23" t="str">
        <f>IF(MIN(AE7:AE8)&gt;39,AA19,"na")</f>
        <v>Yes</v>
      </c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1:48" ht="15" customHeight="1" x14ac:dyDescent="0.25">
      <c r="A13" s="17"/>
      <c r="B13" s="17"/>
      <c r="F13" t="s">
        <v>35</v>
      </c>
      <c r="G13" s="20">
        <f>Y24</f>
        <v>5.1160433916783584E-7</v>
      </c>
      <c r="H13" s="30"/>
      <c r="I13" s="30"/>
      <c r="J13" s="30"/>
      <c r="K13" s="30"/>
      <c r="M13" t="s">
        <v>64</v>
      </c>
      <c r="N13" s="1">
        <f>IF(MIN(AE7:AE8)&gt;39,Z20,"na")</f>
        <v>0.22496137234560745</v>
      </c>
      <c r="O13" s="23" t="str">
        <f>IF(MIN(AE7:AE8)&gt;39,AA20,"na")</f>
        <v>Yes</v>
      </c>
      <c r="R13" t="str">
        <f>B7</f>
        <v>Male</v>
      </c>
      <c r="S13">
        <f>S7/$AE7</f>
        <v>7.6190476190476197E-2</v>
      </c>
      <c r="T13">
        <f>T7/$AE7</f>
        <v>0.22857142857142856</v>
      </c>
      <c r="U13">
        <f t="shared" ref="U13:AC13" si="10">U7/$AE7</f>
        <v>0.27619047619047621</v>
      </c>
      <c r="V13">
        <f t="shared" si="10"/>
        <v>0.60952380952380958</v>
      </c>
      <c r="W13">
        <f t="shared" si="10"/>
        <v>0.74285714285714288</v>
      </c>
      <c r="X13">
        <f t="shared" si="10"/>
        <v>0.8</v>
      </c>
      <c r="Y13">
        <f t="shared" si="10"/>
        <v>0.81904761904761902</v>
      </c>
      <c r="Z13">
        <f t="shared" si="10"/>
        <v>0.88571428571428568</v>
      </c>
      <c r="AA13">
        <f t="shared" si="10"/>
        <v>0.98095238095238091</v>
      </c>
      <c r="AB13">
        <f t="shared" si="10"/>
        <v>1</v>
      </c>
      <c r="AC13">
        <f t="shared" si="10"/>
        <v>1</v>
      </c>
      <c r="AN13" t="s">
        <v>12</v>
      </c>
      <c r="AO13">
        <f>AV7-AV8</f>
        <v>1.1714285714285717</v>
      </c>
    </row>
    <row r="14" spans="1:48" ht="18.75" x14ac:dyDescent="0.3">
      <c r="A14" s="8" t="s">
        <v>20</v>
      </c>
      <c r="B14" s="8"/>
      <c r="C14" s="8" t="s">
        <v>21</v>
      </c>
      <c r="D14" s="21">
        <f>IF(AE7=AE8,D12/((AE7+AE8)/2),"Use Dmax")</f>
        <v>0.37142857142857144</v>
      </c>
      <c r="H14" s="30"/>
      <c r="I14" s="30"/>
      <c r="J14" s="30"/>
      <c r="K14" s="30"/>
      <c r="M14" t="s">
        <v>64</v>
      </c>
      <c r="N14" s="1">
        <f>IF(MIN(AE7:AE8)&gt;39,Z21,"na")</f>
        <v>0.26912556814351812</v>
      </c>
      <c r="O14" s="23" t="str">
        <f>IF(MIN(AE7:AE8)&gt;39,AA21,"na")</f>
        <v>Yes</v>
      </c>
      <c r="R14" t="str">
        <f>B8</f>
        <v>Female</v>
      </c>
      <c r="S14">
        <f>S8/$AE8</f>
        <v>1.9047619047619049E-2</v>
      </c>
      <c r="T14">
        <f>T8/$AE8</f>
        <v>7.6190476190476197E-2</v>
      </c>
      <c r="U14">
        <f t="shared" ref="U14:AC14" si="11">U8/$AE8</f>
        <v>0.12380952380952381</v>
      </c>
      <c r="V14">
        <f t="shared" si="11"/>
        <v>0.23809523809523808</v>
      </c>
      <c r="W14">
        <f t="shared" si="11"/>
        <v>0.49523809523809526</v>
      </c>
      <c r="X14">
        <f t="shared" si="11"/>
        <v>0.68571428571428572</v>
      </c>
      <c r="Y14">
        <f t="shared" si="11"/>
        <v>0.79047619047619044</v>
      </c>
      <c r="Z14">
        <f t="shared" si="11"/>
        <v>0.8666666666666667</v>
      </c>
      <c r="AA14">
        <f t="shared" si="11"/>
        <v>0.96190476190476193</v>
      </c>
      <c r="AB14">
        <f t="shared" si="11"/>
        <v>0.99047619047619051</v>
      </c>
      <c r="AC14">
        <f t="shared" si="11"/>
        <v>1</v>
      </c>
      <c r="AN14" t="s">
        <v>13</v>
      </c>
      <c r="AO14">
        <f>((AT10/AE7)+(AT11/AE8))^0.5</f>
        <v>0.31172505518429677</v>
      </c>
    </row>
    <row r="15" spans="1:48" ht="18.75" x14ac:dyDescent="0.3">
      <c r="A15" s="8"/>
      <c r="B15" s="8"/>
      <c r="C15" s="8"/>
      <c r="D15" s="8"/>
      <c r="AE15" t="s">
        <v>18</v>
      </c>
      <c r="AN15" t="s">
        <v>14</v>
      </c>
      <c r="AO15" s="15">
        <f>AO13/AO14</f>
        <v>3.7578903329923374</v>
      </c>
    </row>
    <row r="16" spans="1:48" x14ac:dyDescent="0.25">
      <c r="A16" s="30" t="str">
        <f>IF(MIN(AE7:AE8)&lt;50,"Your samples may be a bit too small to trust the results of a t-test","Your samples are large so you may choose to use parametric tests like the t-test and F ratio")</f>
        <v>Your samples are large so you may choose to use parametric tests like the t-test and F ratio</v>
      </c>
      <c r="B16" s="30"/>
      <c r="C16" s="30"/>
      <c r="D16" s="30"/>
      <c r="R16" t="s">
        <v>17</v>
      </c>
      <c r="S16">
        <f>ABS(S13-S14)</f>
        <v>5.7142857142857148E-2</v>
      </c>
      <c r="T16">
        <f t="shared" ref="T16" si="12">ABS(T13-T14)</f>
        <v>0.15238095238095237</v>
      </c>
      <c r="U16">
        <f t="shared" ref="U16:AC16" si="13">ABS(U13-U14)</f>
        <v>0.15238095238095239</v>
      </c>
      <c r="V16">
        <f t="shared" si="13"/>
        <v>0.3714285714285715</v>
      </c>
      <c r="W16">
        <f t="shared" si="13"/>
        <v>0.24761904761904763</v>
      </c>
      <c r="X16">
        <f t="shared" si="13"/>
        <v>0.11428571428571432</v>
      </c>
      <c r="Y16">
        <f t="shared" si="13"/>
        <v>2.8571428571428581E-2</v>
      </c>
      <c r="Z16">
        <f t="shared" si="13"/>
        <v>1.904761904761898E-2</v>
      </c>
      <c r="AA16">
        <f t="shared" si="13"/>
        <v>1.904761904761898E-2</v>
      </c>
      <c r="AB16">
        <f t="shared" si="13"/>
        <v>9.52380952380949E-3</v>
      </c>
      <c r="AC16">
        <f t="shared" si="13"/>
        <v>0</v>
      </c>
      <c r="AE16">
        <f>MAX(S16:AC16)</f>
        <v>0.3714285714285715</v>
      </c>
      <c r="AN16" t="s">
        <v>0</v>
      </c>
      <c r="AO16">
        <f>AE7+AE8-2</f>
        <v>208</v>
      </c>
    </row>
    <row r="17" spans="1:37" x14ac:dyDescent="0.25">
      <c r="A17" s="30"/>
      <c r="B17" s="30"/>
      <c r="C17" s="30"/>
      <c r="D17" s="30"/>
      <c r="AI17" t="s">
        <v>31</v>
      </c>
      <c r="AJ17">
        <f>_xlfn.T.DIST.2T(AO15,AO16)</f>
        <v>2.2255463529488245E-4</v>
      </c>
    </row>
    <row r="18" spans="1:37" x14ac:dyDescent="0.25">
      <c r="A18" s="30"/>
      <c r="B18" s="30"/>
      <c r="C18" s="30"/>
      <c r="D18" s="30"/>
      <c r="X18" t="s">
        <v>25</v>
      </c>
      <c r="Z18">
        <f>((AE7+AE8)/(AE7*AE8))^0.5</f>
        <v>0.13801311186847084</v>
      </c>
      <c r="AI18" t="s">
        <v>35</v>
      </c>
      <c r="AJ18">
        <f>AJ17/2</f>
        <v>1.1127731764744123E-4</v>
      </c>
    </row>
    <row r="19" spans="1:37" x14ac:dyDescent="0.25">
      <c r="X19">
        <v>0.05</v>
      </c>
      <c r="Y19">
        <v>1.36</v>
      </c>
      <c r="Z19">
        <f>Y19*Z18</f>
        <v>0.18769783214112037</v>
      </c>
      <c r="AA19" t="str">
        <f>IF(AE16&gt;Z19,"Yes","No")</f>
        <v>Yes</v>
      </c>
      <c r="AI19" t="s">
        <v>36</v>
      </c>
      <c r="AJ19">
        <f>_xlfn.NORM.S.INV(AJ18)</f>
        <v>-3.6919346745168604</v>
      </c>
    </row>
    <row r="20" spans="1:37" ht="18.75" x14ac:dyDescent="0.3">
      <c r="A20" s="10" t="s">
        <v>22</v>
      </c>
      <c r="B20" s="10"/>
      <c r="C20" s="8" t="s">
        <v>26</v>
      </c>
      <c r="D20" s="7">
        <f>IF(MIN(AE7:AE8)&gt;24,AO15,"na")</f>
        <v>3.7578903329923374</v>
      </c>
      <c r="X20">
        <v>0.01</v>
      </c>
      <c r="Y20">
        <v>1.63</v>
      </c>
      <c r="Z20">
        <f>Y20*Z18</f>
        <v>0.22496137234560745</v>
      </c>
      <c r="AA20" t="str">
        <f>IF(AE16&gt;Z20,"Yes","No")</f>
        <v>Yes</v>
      </c>
      <c r="AI20" t="s">
        <v>37</v>
      </c>
      <c r="AJ20">
        <f>AJ19/((AE7+AE8)^0.5)</f>
        <v>-0.25476769662259097</v>
      </c>
    </row>
    <row r="21" spans="1:37" ht="18.75" x14ac:dyDescent="0.3">
      <c r="A21" s="10"/>
      <c r="B21" s="10" t="s">
        <v>23</v>
      </c>
      <c r="C21" s="8" t="s">
        <v>25</v>
      </c>
      <c r="D21" s="7">
        <f>IF(MIN(AE7:AE8)&gt;24,AJ17,"na")</f>
        <v>2.2255463529488245E-4</v>
      </c>
      <c r="X21">
        <v>1E-3</v>
      </c>
      <c r="Y21">
        <v>1.95</v>
      </c>
      <c r="Z21">
        <f>Y21*Z18</f>
        <v>0.26912556814351812</v>
      </c>
      <c r="AA21" t="str">
        <f>IF(AE16&gt;Z21,"Yes","No")</f>
        <v>Yes</v>
      </c>
      <c r="AI21" t="s">
        <v>40</v>
      </c>
      <c r="AJ21">
        <f>(MAX(AT10:AT11))/(MIN(AT10:AT11))</f>
        <v>1.2792324687014156</v>
      </c>
    </row>
    <row r="22" spans="1:37" ht="18.75" x14ac:dyDescent="0.3">
      <c r="A22" s="10"/>
      <c r="B22" s="10" t="s">
        <v>24</v>
      </c>
      <c r="C22" s="8" t="s">
        <v>25</v>
      </c>
      <c r="D22" s="7">
        <f>IF(MIN(AE7:AE8)&gt;24,D21/2,"na")</f>
        <v>1.1127731764744123E-4</v>
      </c>
      <c r="AJ22" t="s">
        <v>44</v>
      </c>
      <c r="AK22" t="s">
        <v>45</v>
      </c>
    </row>
    <row r="23" spans="1:37" x14ac:dyDescent="0.25">
      <c r="X23" t="s">
        <v>32</v>
      </c>
      <c r="Y23">
        <f>(4*(AE16^2))</f>
        <v>0.55183673469387773</v>
      </c>
      <c r="Z23">
        <f>(AE7*AE8)/(AE7+AE8)</f>
        <v>52.5</v>
      </c>
      <c r="AA23">
        <f>Y23*Z23</f>
        <v>28.971428571428582</v>
      </c>
      <c r="AI23" t="s">
        <v>42</v>
      </c>
      <c r="AJ23">
        <f>_xlfn.F.INV.RT(0.025,MAX(AE7:AE8)-1,MIN(AE7:AE8)-1)</f>
        <v>1.4718138708346939</v>
      </c>
      <c r="AK23">
        <f>_xlfn.F.INV.RT(0.05,MAX(AE7:AE8)-1,MIN(AE7:AE8)-1)</f>
        <v>1.3827327985403963</v>
      </c>
    </row>
    <row r="24" spans="1:37" ht="15.75" x14ac:dyDescent="0.25">
      <c r="B24" s="7" t="s">
        <v>27</v>
      </c>
      <c r="C24" s="7" t="s">
        <v>28</v>
      </c>
      <c r="X24" t="s">
        <v>33</v>
      </c>
      <c r="Y24">
        <f>_xlfn.CHISQ.DIST.RT(AA23,2)</f>
        <v>5.1160433916783584E-7</v>
      </c>
      <c r="AI24" t="s">
        <v>43</v>
      </c>
      <c r="AJ24">
        <f>_xlfn.F.INV.RT(0.005,MAX(AE7:AE8)-1,MIN(AE7:AE8)-1)</f>
        <v>1.6637601630001395</v>
      </c>
      <c r="AK24">
        <f>_xlfn.F.INV.RT(0.01,MAX(AE7:AE8)-1,MIN(AE7:AE8)-1)</f>
        <v>1.5830016710063941</v>
      </c>
    </row>
    <row r="25" spans="1:37" ht="15.75" x14ac:dyDescent="0.25">
      <c r="A25" s="7" t="str">
        <f>B7</f>
        <v>Male</v>
      </c>
      <c r="B25">
        <f>AT7</f>
        <v>7.4190476190476193</v>
      </c>
      <c r="C25" s="5">
        <f>AU10</f>
        <v>2.3930225190241683</v>
      </c>
    </row>
    <row r="26" spans="1:37" ht="15.75" x14ac:dyDescent="0.25">
      <c r="A26" s="7" t="str">
        <f>B8</f>
        <v>Female</v>
      </c>
      <c r="B26">
        <f>AT8</f>
        <v>6.2476190476190476</v>
      </c>
      <c r="C26" s="5">
        <f>AU11</f>
        <v>2.1157875074205292</v>
      </c>
      <c r="X26" t="s">
        <v>34</v>
      </c>
      <c r="Y26">
        <f>Y24*2</f>
        <v>1.0232086783356717E-6</v>
      </c>
    </row>
    <row r="28" spans="1:37" x14ac:dyDescent="0.25">
      <c r="A28" t="s">
        <v>38</v>
      </c>
      <c r="C28">
        <f>ABS(AJ20)</f>
        <v>0.25476769662259097</v>
      </c>
    </row>
    <row r="30" spans="1:37" x14ac:dyDescent="0.25">
      <c r="D30" t="s">
        <v>31</v>
      </c>
      <c r="E30" t="s">
        <v>35</v>
      </c>
    </row>
    <row r="31" spans="1:37" x14ac:dyDescent="0.25">
      <c r="A31" t="s">
        <v>41</v>
      </c>
      <c r="C31">
        <f>AJ21</f>
        <v>1.2792324687014156</v>
      </c>
      <c r="D31" t="str">
        <f>IF(C31&lt;AJ23,"p &gt; 0.05","p&lt;0.05")</f>
        <v>p &gt; 0.05</v>
      </c>
      <c r="E31" t="str">
        <f>IF(C31&lt;AK23,"p &gt; 0.05","p&lt;0.05")</f>
        <v>p &gt; 0.05</v>
      </c>
    </row>
    <row r="32" spans="1:37" x14ac:dyDescent="0.25">
      <c r="D32" t="str">
        <f>IF(C31&lt;AJ24,"p &gt; 0.01","p&lt;0.01")</f>
        <v>p &gt; 0.01</v>
      </c>
      <c r="E32" t="str">
        <f>IF(C31&lt;AK24,"p &gt; 0.01","p&lt;0.01")</f>
        <v>p &gt; 0.01</v>
      </c>
    </row>
  </sheetData>
  <mergeCells count="5">
    <mergeCell ref="B2:I3"/>
    <mergeCell ref="B7:C7"/>
    <mergeCell ref="B8:C8"/>
    <mergeCell ref="H12:K14"/>
    <mergeCell ref="A16:D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3 categories</vt:lpstr>
      <vt:lpstr>4 categories</vt:lpstr>
      <vt:lpstr>5 categories</vt:lpstr>
      <vt:lpstr>6 categories</vt:lpstr>
      <vt:lpstr>7 categories</vt:lpstr>
      <vt:lpstr>8 categories</vt:lpstr>
      <vt:lpstr>9 categories</vt:lpstr>
      <vt:lpstr>10 categories</vt:lpstr>
      <vt:lpstr>11 categories</vt:lpstr>
      <vt:lpstr>12 categories</vt:lpstr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2016-02-13T11:32:15Z</dcterms:created>
  <dcterms:modified xsi:type="dcterms:W3CDTF">2016-09-30T10:05:45Z</dcterms:modified>
</cp:coreProperties>
</file>